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robbi\Dropbox (REM Capital)\Lifetime CashFlow Academy\KL Promotions LLC\Coaching Call\"/>
    </mc:Choice>
  </mc:AlternateContent>
  <xr:revisionPtr revIDLastSave="0" documentId="8_{196A710C-2A8F-4138-AC5B-C6A608934E17}" xr6:coauthVersionLast="45" xr6:coauthVersionMax="45" xr10:uidLastSave="{00000000-0000-0000-0000-000000000000}"/>
  <bookViews>
    <workbookView xWindow="-120" yWindow="-17400" windowWidth="30960" windowHeight="17070" xr2:uid="{00000000-000D-0000-FFFF-FFFF00000000}"/>
  </bookViews>
  <sheets>
    <sheet name="Analysis" sheetId="1" r:id="rId1"/>
    <sheet name="Capex" sheetId="3" r:id="rId2"/>
    <sheet name="Total Uses" sheetId="5" r:id="rId3"/>
    <sheet name="Amortization" sheetId="2" r:id="rId4"/>
    <sheet name="_SSC" sheetId="4" state="veryHidden" r:id="rId5"/>
  </sheets>
  <definedNames>
    <definedName name="_xlnm.Print_Area" localSheetId="0">Analysis!$A$1:$T$185</definedName>
    <definedName name="_xlnm.Print_Titles" localSheetId="0">Analysis!$1:$4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7" i="1" l="1"/>
  <c r="I47" i="1"/>
  <c r="G56" i="1"/>
  <c r="G47" i="1"/>
  <c r="L17" i="1"/>
  <c r="J17" i="1"/>
  <c r="K17" i="1"/>
  <c r="I17" i="1"/>
  <c r="H17" i="1" l="1"/>
  <c r="E12" i="2" l="1"/>
  <c r="I15" i="1" l="1"/>
  <c r="I13" i="1"/>
  <c r="I11" i="1"/>
  <c r="I9" i="1"/>
  <c r="G57" i="1"/>
  <c r="K15" i="1" l="1"/>
  <c r="K13" i="1"/>
  <c r="K11" i="1"/>
  <c r="J184" i="1" l="1"/>
  <c r="L184" i="1"/>
  <c r="H15" i="1" l="1"/>
  <c r="L15" i="1"/>
  <c r="J15" i="1" l="1"/>
  <c r="H11" i="3" l="1"/>
  <c r="H20" i="3"/>
  <c r="G115" i="1" l="1"/>
  <c r="G113" i="1" s="1"/>
  <c r="H30" i="3"/>
  <c r="K123" i="1" l="1"/>
  <c r="I123" i="1"/>
  <c r="D6" i="2"/>
  <c r="M11" i="1"/>
  <c r="N11" i="1" s="1"/>
  <c r="L9" i="1"/>
  <c r="G101" i="1"/>
  <c r="G103" i="1" s="1"/>
  <c r="G106" i="1" s="1"/>
  <c r="G21" i="1"/>
  <c r="G27" i="1"/>
  <c r="G26" i="1"/>
  <c r="G25" i="1"/>
  <c r="G28" i="1"/>
  <c r="G29" i="1"/>
  <c r="G30" i="1"/>
  <c r="I8" i="1"/>
  <c r="I10" i="1"/>
  <c r="K10" i="1" s="1"/>
  <c r="M10" i="1" s="1"/>
  <c r="I12" i="1"/>
  <c r="I14" i="1"/>
  <c r="K14" i="1" s="1"/>
  <c r="M14" i="1" s="1"/>
  <c r="N14" i="1" s="1"/>
  <c r="O14" i="1" s="1"/>
  <c r="P14" i="1" s="1"/>
  <c r="Q14" i="1" s="1"/>
  <c r="R14" i="1" s="1"/>
  <c r="S14" i="1" s="1"/>
  <c r="T14" i="1" s="1"/>
  <c r="I30" i="1"/>
  <c r="I48" i="1"/>
  <c r="I49" i="1"/>
  <c r="I50" i="1"/>
  <c r="K50" i="1" s="1"/>
  <c r="M50" i="1" s="1"/>
  <c r="N50" i="1" s="1"/>
  <c r="O50" i="1" s="1"/>
  <c r="P50" i="1" s="1"/>
  <c r="Q50" i="1" s="1"/>
  <c r="R50" i="1" s="1"/>
  <c r="S50" i="1" s="1"/>
  <c r="T50" i="1" s="1"/>
  <c r="I51" i="1"/>
  <c r="K51" i="1" s="1"/>
  <c r="I52" i="1"/>
  <c r="K52" i="1" s="1"/>
  <c r="M52" i="1" s="1"/>
  <c r="N52" i="1" s="1"/>
  <c r="O52" i="1" s="1"/>
  <c r="P52" i="1" s="1"/>
  <c r="Q52" i="1" s="1"/>
  <c r="R52" i="1" s="1"/>
  <c r="S52" i="1" s="1"/>
  <c r="T52" i="1" s="1"/>
  <c r="I53" i="1"/>
  <c r="K53" i="1" s="1"/>
  <c r="M53" i="1" s="1"/>
  <c r="N53" i="1" s="1"/>
  <c r="O53" i="1" s="1"/>
  <c r="P53" i="1" s="1"/>
  <c r="Q53" i="1" s="1"/>
  <c r="R53" i="1" s="1"/>
  <c r="S53" i="1" s="1"/>
  <c r="T53" i="1" s="1"/>
  <c r="I54" i="1"/>
  <c r="K54" i="1" s="1"/>
  <c r="M54" i="1" s="1"/>
  <c r="N54" i="1" s="1"/>
  <c r="O54" i="1" s="1"/>
  <c r="P54" i="1" s="1"/>
  <c r="Q54" i="1" s="1"/>
  <c r="R54" i="1" s="1"/>
  <c r="S54" i="1" s="1"/>
  <c r="T54" i="1" s="1"/>
  <c r="I55" i="1"/>
  <c r="I56" i="1"/>
  <c r="K56" i="1" s="1"/>
  <c r="M56" i="1" s="1"/>
  <c r="N56" i="1" s="1"/>
  <c r="O56" i="1" s="1"/>
  <c r="P56" i="1" s="1"/>
  <c r="Q56" i="1" s="1"/>
  <c r="R56" i="1" s="1"/>
  <c r="S56" i="1" s="1"/>
  <c r="T56" i="1" s="1"/>
  <c r="I66" i="1"/>
  <c r="I70" i="1"/>
  <c r="I71" i="1"/>
  <c r="I74" i="1"/>
  <c r="I76" i="1"/>
  <c r="K76" i="1" s="1"/>
  <c r="M76" i="1" s="1"/>
  <c r="N76" i="1" s="1"/>
  <c r="O76" i="1" s="1"/>
  <c r="P76" i="1" s="1"/>
  <c r="Q76" i="1" s="1"/>
  <c r="R76" i="1" s="1"/>
  <c r="S76" i="1" s="1"/>
  <c r="T76" i="1" s="1"/>
  <c r="G79" i="1"/>
  <c r="K55" i="1"/>
  <c r="M55" i="1"/>
  <c r="N55" i="1" s="1"/>
  <c r="O55" i="1" s="1"/>
  <c r="P55" i="1" s="1"/>
  <c r="Q55" i="1" s="1"/>
  <c r="R55" i="1" s="1"/>
  <c r="S55" i="1" s="1"/>
  <c r="T55" i="1" s="1"/>
  <c r="M15" i="1"/>
  <c r="N15" i="1" s="1"/>
  <c r="M16" i="1"/>
  <c r="N16" i="1" s="1"/>
  <c r="O16" i="1" s="1"/>
  <c r="P16" i="1" s="1"/>
  <c r="Q16" i="1" s="1"/>
  <c r="R16" i="1" s="1"/>
  <c r="S16" i="1" s="1"/>
  <c r="T16" i="1" s="1"/>
  <c r="M18" i="1"/>
  <c r="N18" i="1" s="1"/>
  <c r="O18" i="1" s="1"/>
  <c r="P18" i="1" s="1"/>
  <c r="Q18" i="1" s="1"/>
  <c r="R18" i="1" s="1"/>
  <c r="S18" i="1" s="1"/>
  <c r="T18" i="1" s="1"/>
  <c r="M19" i="1"/>
  <c r="N19" i="1" s="1"/>
  <c r="O19" i="1" s="1"/>
  <c r="P19" i="1" s="1"/>
  <c r="Q19" i="1" s="1"/>
  <c r="R19" i="1" s="1"/>
  <c r="S19" i="1" s="1"/>
  <c r="T19" i="1" s="1"/>
  <c r="X66" i="1"/>
  <c r="K66" i="1"/>
  <c r="M66" i="1"/>
  <c r="N66" i="1"/>
  <c r="O66" i="1"/>
  <c r="P66" i="1"/>
  <c r="Q66" i="1"/>
  <c r="R66" i="1"/>
  <c r="S66" i="1"/>
  <c r="T66" i="1"/>
  <c r="H6" i="3"/>
  <c r="H7" i="3"/>
  <c r="H8" i="3"/>
  <c r="H9" i="3"/>
  <c r="H10" i="3"/>
  <c r="H15" i="3"/>
  <c r="H16" i="3"/>
  <c r="H17" i="3"/>
  <c r="H18" i="3"/>
  <c r="H19" i="3"/>
  <c r="H25" i="3"/>
  <c r="H26" i="3"/>
  <c r="H27" i="3"/>
  <c r="H28" i="3"/>
  <c r="H29" i="3"/>
  <c r="F26" i="5"/>
  <c r="S6" i="2"/>
  <c r="Q12" i="2" s="1"/>
  <c r="AG8" i="2"/>
  <c r="AG7" i="2"/>
  <c r="AD9" i="2"/>
  <c r="AE12" i="2"/>
  <c r="AF12" i="2"/>
  <c r="AG12" i="2"/>
  <c r="AE13" i="2"/>
  <c r="AF13" i="2"/>
  <c r="AG13" i="2"/>
  <c r="AE14" i="2"/>
  <c r="AF14" i="2"/>
  <c r="AG14" i="2"/>
  <c r="AE15" i="2"/>
  <c r="AF15" i="2"/>
  <c r="AG15" i="2"/>
  <c r="AE16" i="2"/>
  <c r="AF16" i="2"/>
  <c r="AG16" i="2"/>
  <c r="AE17" i="2"/>
  <c r="AF17" i="2"/>
  <c r="AG17" i="2"/>
  <c r="AE18" i="2"/>
  <c r="AF18" i="2"/>
  <c r="AG18" i="2"/>
  <c r="AE19" i="2"/>
  <c r="AF19" i="2"/>
  <c r="AG19" i="2"/>
  <c r="AE20" i="2"/>
  <c r="AF20" i="2"/>
  <c r="AG20" i="2"/>
  <c r="AE21" i="2"/>
  <c r="AF21" i="2"/>
  <c r="AG21" i="2"/>
  <c r="AE22" i="2"/>
  <c r="AF22" i="2"/>
  <c r="AG22" i="2"/>
  <c r="AE23" i="2"/>
  <c r="AF23" i="2"/>
  <c r="AF24" i="2"/>
  <c r="BA6" i="2"/>
  <c r="C9" i="2"/>
  <c r="F6" i="2"/>
  <c r="J232" i="2" s="1"/>
  <c r="AE24" i="2"/>
  <c r="AW6" i="2"/>
  <c r="G105" i="1"/>
  <c r="G108" i="1"/>
  <c r="I175" i="1"/>
  <c r="I183" i="1" s="1"/>
  <c r="AI7" i="2"/>
  <c r="AG23" i="2"/>
  <c r="AE27" i="2"/>
  <c r="AF27" i="2"/>
  <c r="AG27" i="2"/>
  <c r="AE28" i="2"/>
  <c r="AF28" i="2"/>
  <c r="AG28" i="2"/>
  <c r="AE29" i="2"/>
  <c r="AF29" i="2"/>
  <c r="AG29" i="2"/>
  <c r="AE30" i="2"/>
  <c r="AF30" i="2"/>
  <c r="AG30" i="2"/>
  <c r="AE31" i="2"/>
  <c r="AF31" i="2"/>
  <c r="AG31" i="2"/>
  <c r="AE32" i="2"/>
  <c r="AF32" i="2"/>
  <c r="AG32" i="2"/>
  <c r="AE33" i="2"/>
  <c r="AF33" i="2"/>
  <c r="AG33" i="2"/>
  <c r="AE34" i="2"/>
  <c r="AF34" i="2"/>
  <c r="AG34" i="2"/>
  <c r="AE35" i="2"/>
  <c r="AF35" i="2"/>
  <c r="AG35" i="2"/>
  <c r="AE36" i="2"/>
  <c r="AF36" i="2"/>
  <c r="AG36" i="2"/>
  <c r="AE37" i="2"/>
  <c r="AF37" i="2"/>
  <c r="AG37" i="2"/>
  <c r="AE38" i="2"/>
  <c r="AF38" i="2"/>
  <c r="AF39" i="2"/>
  <c r="BA7" i="2"/>
  <c r="AE39" i="2"/>
  <c r="AW7" i="2"/>
  <c r="K48" i="1"/>
  <c r="K49" i="1"/>
  <c r="M49" i="1" s="1"/>
  <c r="N49" i="1" s="1"/>
  <c r="O49" i="1" s="1"/>
  <c r="P49" i="1" s="1"/>
  <c r="Q49" i="1" s="1"/>
  <c r="R49" i="1" s="1"/>
  <c r="S49" i="1" s="1"/>
  <c r="T49" i="1" s="1"/>
  <c r="K64" i="1"/>
  <c r="M64" i="1" s="1"/>
  <c r="N64" i="1" s="1"/>
  <c r="O64" i="1" s="1"/>
  <c r="P64" i="1" s="1"/>
  <c r="Q64" i="1" s="1"/>
  <c r="R64" i="1" s="1"/>
  <c r="S64" i="1" s="1"/>
  <c r="T64" i="1" s="1"/>
  <c r="K65" i="1"/>
  <c r="K67" i="1"/>
  <c r="M67" i="1" s="1"/>
  <c r="N67" i="1" s="1"/>
  <c r="O67" i="1" s="1"/>
  <c r="P67" i="1" s="1"/>
  <c r="Q67" i="1" s="1"/>
  <c r="R67" i="1" s="1"/>
  <c r="S67" i="1" s="1"/>
  <c r="T67" i="1" s="1"/>
  <c r="K68" i="1"/>
  <c r="M68" i="1" s="1"/>
  <c r="N68" i="1" s="1"/>
  <c r="O68" i="1" s="1"/>
  <c r="P68" i="1" s="1"/>
  <c r="Q68" i="1" s="1"/>
  <c r="R68" i="1" s="1"/>
  <c r="S68" i="1" s="1"/>
  <c r="T68" i="1" s="1"/>
  <c r="K70" i="1"/>
  <c r="K71" i="1"/>
  <c r="K72" i="1"/>
  <c r="K73" i="1"/>
  <c r="K74" i="1"/>
  <c r="AI8" i="2"/>
  <c r="AG38" i="2"/>
  <c r="AE42" i="2"/>
  <c r="AF42" i="2"/>
  <c r="AG42" i="2"/>
  <c r="AE43" i="2"/>
  <c r="AF43" i="2"/>
  <c r="AG43" i="2"/>
  <c r="AE44" i="2"/>
  <c r="AF44" i="2"/>
  <c r="AG44" i="2"/>
  <c r="AE45" i="2"/>
  <c r="AF45" i="2"/>
  <c r="AG45" i="2"/>
  <c r="AE46" i="2"/>
  <c r="AF46" i="2"/>
  <c r="AG46" i="2"/>
  <c r="AE47" i="2"/>
  <c r="AF47" i="2"/>
  <c r="AG47" i="2"/>
  <c r="AE48" i="2"/>
  <c r="AF48" i="2"/>
  <c r="AG48" i="2"/>
  <c r="AE49" i="2"/>
  <c r="AF49" i="2"/>
  <c r="AG49" i="2"/>
  <c r="AE50" i="2"/>
  <c r="AF50" i="2"/>
  <c r="AG50" i="2"/>
  <c r="AE51" i="2"/>
  <c r="AF51" i="2"/>
  <c r="AG51" i="2"/>
  <c r="AE52" i="2"/>
  <c r="AF52" i="2"/>
  <c r="AG52" i="2"/>
  <c r="AE53" i="2"/>
  <c r="AF53" i="2"/>
  <c r="AF54" i="2"/>
  <c r="BA8" i="2"/>
  <c r="AE54" i="2"/>
  <c r="AW8" i="2"/>
  <c r="M47" i="1"/>
  <c r="N47" i="1" s="1"/>
  <c r="O47" i="1" s="1"/>
  <c r="P47" i="1" s="1"/>
  <c r="Q47" i="1" s="1"/>
  <c r="R47" i="1" s="1"/>
  <c r="S47" i="1" s="1"/>
  <c r="T47" i="1" s="1"/>
  <c r="M48" i="1"/>
  <c r="N48" i="1" s="1"/>
  <c r="M65" i="1"/>
  <c r="M70" i="1"/>
  <c r="M71" i="1"/>
  <c r="M72" i="1"/>
  <c r="M73" i="1"/>
  <c r="N73" i="1" s="1"/>
  <c r="O73" i="1" s="1"/>
  <c r="P73" i="1" s="1"/>
  <c r="Q73" i="1" s="1"/>
  <c r="R73" i="1" s="1"/>
  <c r="S73" i="1" s="1"/>
  <c r="T73" i="1" s="1"/>
  <c r="M74" i="1"/>
  <c r="M75" i="1"/>
  <c r="N75" i="1" s="1"/>
  <c r="O75" i="1" s="1"/>
  <c r="P75" i="1" s="1"/>
  <c r="Q75" i="1" s="1"/>
  <c r="R75" i="1" s="1"/>
  <c r="S75" i="1" s="1"/>
  <c r="T75" i="1" s="1"/>
  <c r="AJ7" i="2"/>
  <c r="AJ8" i="2"/>
  <c r="AG53" i="2"/>
  <c r="AI9" i="2"/>
  <c r="AE57" i="2"/>
  <c r="AF57" i="2"/>
  <c r="AG57" i="2"/>
  <c r="AE58" i="2"/>
  <c r="AF58" i="2"/>
  <c r="AG58" i="2"/>
  <c r="AE59" i="2"/>
  <c r="AF59" i="2"/>
  <c r="AG59" i="2"/>
  <c r="AE60" i="2"/>
  <c r="AF60" i="2"/>
  <c r="AG60" i="2"/>
  <c r="AE61" i="2"/>
  <c r="AF61" i="2"/>
  <c r="AG61" i="2"/>
  <c r="AE62" i="2"/>
  <c r="AF62" i="2"/>
  <c r="AG62" i="2"/>
  <c r="AE63" i="2"/>
  <c r="AF63" i="2"/>
  <c r="AG63" i="2"/>
  <c r="AE64" i="2"/>
  <c r="AF64" i="2"/>
  <c r="AG64" i="2"/>
  <c r="AE65" i="2"/>
  <c r="AF65" i="2"/>
  <c r="AG65" i="2"/>
  <c r="AE66" i="2"/>
  <c r="AF66" i="2"/>
  <c r="AG66" i="2"/>
  <c r="AE67" i="2"/>
  <c r="AF67" i="2"/>
  <c r="AG67" i="2"/>
  <c r="AE68" i="2"/>
  <c r="AF68" i="2"/>
  <c r="AF69" i="2"/>
  <c r="BA9" i="2"/>
  <c r="AE69" i="2"/>
  <c r="AW9" i="2"/>
  <c r="N65" i="1"/>
  <c r="N70" i="1"/>
  <c r="N71" i="1"/>
  <c r="N72" i="1"/>
  <c r="O72" i="1" s="1"/>
  <c r="P72" i="1" s="1"/>
  <c r="Q72" i="1" s="1"/>
  <c r="R72" i="1" s="1"/>
  <c r="S72" i="1" s="1"/>
  <c r="T72" i="1" s="1"/>
  <c r="N74" i="1"/>
  <c r="AI10" i="2"/>
  <c r="AG68" i="2"/>
  <c r="AE72" i="2"/>
  <c r="AF72" i="2"/>
  <c r="AG72" i="2"/>
  <c r="AE73" i="2"/>
  <c r="AF73" i="2"/>
  <c r="AG73" i="2"/>
  <c r="AE74" i="2"/>
  <c r="AF74" i="2"/>
  <c r="AG74" i="2"/>
  <c r="AE75" i="2"/>
  <c r="AF75" i="2"/>
  <c r="AG75" i="2"/>
  <c r="AE76" i="2"/>
  <c r="AF76" i="2"/>
  <c r="AG76" i="2"/>
  <c r="AE77" i="2"/>
  <c r="AF77" i="2"/>
  <c r="AG77" i="2"/>
  <c r="AE78" i="2"/>
  <c r="AF78" i="2"/>
  <c r="AG78" i="2"/>
  <c r="AE79" i="2"/>
  <c r="AF79" i="2"/>
  <c r="AG79" i="2"/>
  <c r="AE80" i="2"/>
  <c r="AF80" i="2"/>
  <c r="AG80" i="2"/>
  <c r="AE81" i="2"/>
  <c r="AF81" i="2"/>
  <c r="AG81" i="2"/>
  <c r="AE82" i="2"/>
  <c r="AF82" i="2"/>
  <c r="AG82" i="2"/>
  <c r="AE83" i="2"/>
  <c r="AF83" i="2"/>
  <c r="AF84" i="2"/>
  <c r="BA10" i="2"/>
  <c r="AE84" i="2"/>
  <c r="AW10" i="2"/>
  <c r="O65" i="1"/>
  <c r="O70" i="1"/>
  <c r="O71" i="1"/>
  <c r="O74" i="1"/>
  <c r="AJ9" i="2"/>
  <c r="AJ10" i="2"/>
  <c r="AG83" i="2"/>
  <c r="H24" i="3"/>
  <c r="F27" i="5"/>
  <c r="F29" i="5" s="1"/>
  <c r="F15" i="5"/>
  <c r="F16" i="5"/>
  <c r="F10" i="5"/>
  <c r="F11" i="5"/>
  <c r="Y81" i="1"/>
  <c r="X64" i="1"/>
  <c r="Y73" i="1" s="1"/>
  <c r="AE73" i="1" s="1"/>
  <c r="AB85" i="1"/>
  <c r="AE84" i="1"/>
  <c r="AE83" i="1"/>
  <c r="AE81" i="1"/>
  <c r="AB81" i="1"/>
  <c r="AE80" i="1"/>
  <c r="AB79" i="1"/>
  <c r="AB78" i="1"/>
  <c r="AE77" i="1"/>
  <c r="AB75" i="1"/>
  <c r="AB73" i="1"/>
  <c r="J133" i="1"/>
  <c r="L133" i="1"/>
  <c r="H13" i="1"/>
  <c r="H11" i="1"/>
  <c r="H9" i="1"/>
  <c r="P70" i="1"/>
  <c r="Q70" i="1"/>
  <c r="R70" i="1"/>
  <c r="S70" i="1"/>
  <c r="T70" i="1"/>
  <c r="P71" i="1"/>
  <c r="Q71" i="1"/>
  <c r="R71" i="1"/>
  <c r="S71" i="1"/>
  <c r="T71" i="1"/>
  <c r="P74" i="1"/>
  <c r="Q74" i="1"/>
  <c r="R74" i="1"/>
  <c r="S74" i="1"/>
  <c r="T74" i="1"/>
  <c r="G114" i="1"/>
  <c r="E177" i="1"/>
  <c r="B1" i="5"/>
  <c r="B1" i="3"/>
  <c r="G91" i="1"/>
  <c r="Q7" i="2"/>
  <c r="B1" i="2"/>
  <c r="BC1" i="2" s="1"/>
  <c r="D7" i="2"/>
  <c r="Y474" i="2"/>
  <c r="K474" i="2"/>
  <c r="I474" i="2"/>
  <c r="Y459" i="2"/>
  <c r="K459" i="2"/>
  <c r="Y444" i="2"/>
  <c r="K444" i="2"/>
  <c r="Y429" i="2"/>
  <c r="K429" i="2"/>
  <c r="Y414" i="2"/>
  <c r="K414" i="2"/>
  <c r="Y399" i="2"/>
  <c r="K399" i="2"/>
  <c r="Y384" i="2"/>
  <c r="K384" i="2"/>
  <c r="Y369" i="2"/>
  <c r="K369" i="2"/>
  <c r="Y354" i="2"/>
  <c r="K354" i="2"/>
  <c r="Y339" i="2"/>
  <c r="K339" i="2"/>
  <c r="Y324" i="2"/>
  <c r="K324" i="2"/>
  <c r="Y309" i="2"/>
  <c r="K309" i="2"/>
  <c r="Y294" i="2"/>
  <c r="K294" i="2"/>
  <c r="Y279" i="2"/>
  <c r="K279" i="2"/>
  <c r="Y264" i="2"/>
  <c r="K264" i="2"/>
  <c r="Y249" i="2"/>
  <c r="K249" i="2"/>
  <c r="Y234" i="2"/>
  <c r="K234" i="2"/>
  <c r="Y219" i="2"/>
  <c r="K219" i="2"/>
  <c r="Y204" i="2"/>
  <c r="K204" i="2"/>
  <c r="Y189" i="2"/>
  <c r="K189" i="2"/>
  <c r="Y174" i="2"/>
  <c r="K174" i="2"/>
  <c r="Y159" i="2"/>
  <c r="K159" i="2"/>
  <c r="Y144" i="2"/>
  <c r="K144" i="2"/>
  <c r="Y129" i="2"/>
  <c r="K129" i="2"/>
  <c r="Y114" i="2"/>
  <c r="K114" i="2"/>
  <c r="Y99" i="2"/>
  <c r="K99" i="2"/>
  <c r="Y84" i="2"/>
  <c r="K84" i="2"/>
  <c r="Y69" i="2"/>
  <c r="K69" i="2"/>
  <c r="Y54" i="2"/>
  <c r="K54" i="2"/>
  <c r="Y39" i="2"/>
  <c r="K39" i="2"/>
  <c r="Y24" i="2"/>
  <c r="K24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Z7" i="2"/>
  <c r="X7" i="2"/>
  <c r="Z6" i="2"/>
  <c r="X6" i="2"/>
  <c r="P9" i="2"/>
  <c r="P24" i="2"/>
  <c r="W9" i="2"/>
  <c r="W24" i="2"/>
  <c r="P264" i="2"/>
  <c r="W234" i="2"/>
  <c r="W99" i="2"/>
  <c r="X50" i="2"/>
  <c r="P69" i="2"/>
  <c r="Z142" i="2"/>
  <c r="W143" i="2" s="1"/>
  <c r="Z134" i="2"/>
  <c r="W135" i="2"/>
  <c r="Z125" i="2"/>
  <c r="W126" i="2" s="1"/>
  <c r="Z91" i="2"/>
  <c r="W92" i="2"/>
  <c r="Z82" i="2"/>
  <c r="W83" i="2" s="1"/>
  <c r="Z65" i="2"/>
  <c r="W66" i="2"/>
  <c r="Z262" i="2"/>
  <c r="W263" i="2" s="1"/>
  <c r="Z231" i="2"/>
  <c r="W232" i="2"/>
  <c r="Z223" i="2"/>
  <c r="W224" i="2" s="1"/>
  <c r="Z183" i="2"/>
  <c r="W184" i="2"/>
  <c r="Z181" i="2"/>
  <c r="W182" i="2" s="1"/>
  <c r="Z179" i="2"/>
  <c r="W180" i="2"/>
  <c r="Z165" i="2"/>
  <c r="W166" i="2" s="1"/>
  <c r="Z156" i="2"/>
  <c r="W157" i="2"/>
  <c r="Z139" i="2"/>
  <c r="W140" i="2" s="1"/>
  <c r="Z122" i="2"/>
  <c r="W123" i="2"/>
  <c r="Z113" i="2"/>
  <c r="W117" i="2" s="1"/>
  <c r="Z96" i="2"/>
  <c r="W97" i="2"/>
  <c r="Z88" i="2"/>
  <c r="W89" i="2" s="1"/>
  <c r="Z79" i="2"/>
  <c r="W80" i="2"/>
  <c r="Z53" i="2"/>
  <c r="W57" i="2" s="1"/>
  <c r="Z261" i="2"/>
  <c r="W262" i="2"/>
  <c r="Z197" i="2"/>
  <c r="W198" i="2" s="1"/>
  <c r="Z166" i="2"/>
  <c r="W167" i="2"/>
  <c r="Z157" i="2"/>
  <c r="W158" i="2" s="1"/>
  <c r="Z149" i="2"/>
  <c r="W150" i="2"/>
  <c r="Z132" i="2"/>
  <c r="W133" i="2" s="1"/>
  <c r="Z123" i="2"/>
  <c r="W124" i="2"/>
  <c r="Z106" i="2"/>
  <c r="W107" i="2" s="1"/>
  <c r="Z89" i="2"/>
  <c r="W90" i="2"/>
  <c r="Z80" i="2"/>
  <c r="W81" i="2" s="1"/>
  <c r="Z72" i="2"/>
  <c r="W73" i="2"/>
  <c r="Z209" i="2"/>
  <c r="W210" i="2" s="1"/>
  <c r="Z194" i="2"/>
  <c r="W195" i="2"/>
  <c r="Z169" i="2"/>
  <c r="W170" i="2" s="1"/>
  <c r="Z124" i="2"/>
  <c r="W125" i="2"/>
  <c r="Z120" i="2"/>
  <c r="W121" i="2" s="1"/>
  <c r="Z118" i="2"/>
  <c r="W119" i="2"/>
  <c r="Z103" i="2"/>
  <c r="W104" i="2" s="1"/>
  <c r="Z98" i="2"/>
  <c r="W102" i="2" s="1"/>
  <c r="Z94" i="2"/>
  <c r="W95" i="2" s="1"/>
  <c r="Z81" i="2"/>
  <c r="W82" i="2"/>
  <c r="Z77" i="2"/>
  <c r="W78" i="2" s="1"/>
  <c r="Z75" i="2"/>
  <c r="W76" i="2"/>
  <c r="Z196" i="2"/>
  <c r="W197" i="2" s="1"/>
  <c r="Z180" i="2"/>
  <c r="W181" i="2"/>
  <c r="Z128" i="2"/>
  <c r="W132" i="2" s="1"/>
  <c r="Z126" i="2"/>
  <c r="W127" i="2" s="1"/>
  <c r="Z111" i="2"/>
  <c r="W112" i="2" s="1"/>
  <c r="Z109" i="2"/>
  <c r="W110" i="2"/>
  <c r="Z83" i="2"/>
  <c r="W87" i="2" s="1"/>
  <c r="Z263" i="2"/>
  <c r="W267" i="2"/>
  <c r="Z187" i="2"/>
  <c r="W188" i="2" s="1"/>
  <c r="Z171" i="2"/>
  <c r="W172" i="2"/>
  <c r="Z258" i="2"/>
  <c r="W259" i="2" s="1"/>
  <c r="Z150" i="2"/>
  <c r="W151" i="2" s="1"/>
  <c r="Z133" i="2"/>
  <c r="W134" i="2" s="1"/>
  <c r="Z275" i="2"/>
  <c r="W276" i="2"/>
  <c r="Z202" i="2"/>
  <c r="W203" i="2" s="1"/>
  <c r="Z185" i="2"/>
  <c r="W186" i="2"/>
  <c r="Z155" i="2"/>
  <c r="W156" i="2" s="1"/>
  <c r="Z141" i="2"/>
  <c r="W142" i="2"/>
  <c r="Z110" i="2"/>
  <c r="W111" i="2"/>
  <c r="Z66" i="2"/>
  <c r="W67" i="2"/>
  <c r="Z60" i="2"/>
  <c r="W61" i="2"/>
  <c r="Z58" i="2"/>
  <c r="W59" i="2"/>
  <c r="Z45" i="2"/>
  <c r="W46" i="2"/>
  <c r="Z30" i="2"/>
  <c r="W31" i="2"/>
  <c r="Z23" i="2"/>
  <c r="W27" i="2"/>
  <c r="Z15" i="2"/>
  <c r="W16" i="2"/>
  <c r="Z102" i="2"/>
  <c r="W103" i="2"/>
  <c r="Z59" i="2"/>
  <c r="W60" i="2"/>
  <c r="Z44" i="2"/>
  <c r="W45" i="2"/>
  <c r="Z240" i="2"/>
  <c r="W241" i="2"/>
  <c r="Z162" i="2"/>
  <c r="W163" i="2"/>
  <c r="Z127" i="2"/>
  <c r="W128" i="2"/>
  <c r="Z50" i="2"/>
  <c r="W51" i="2" s="1"/>
  <c r="Z42" i="2"/>
  <c r="W43" i="2" s="1"/>
  <c r="Z33" i="2"/>
  <c r="W34" i="2" s="1"/>
  <c r="Z18" i="2"/>
  <c r="W19" i="2" s="1"/>
  <c r="Z257" i="2"/>
  <c r="W258" i="2" s="1"/>
  <c r="Z224" i="2"/>
  <c r="W225" i="2"/>
  <c r="Z76" i="2"/>
  <c r="W77" i="2" s="1"/>
  <c r="Z68" i="2"/>
  <c r="W72" i="2"/>
  <c r="Z52" i="2"/>
  <c r="W53" i="2" s="1"/>
  <c r="Z170" i="2"/>
  <c r="W171" i="2"/>
  <c r="Z147" i="2"/>
  <c r="W148" i="2" s="1"/>
  <c r="Z112" i="2"/>
  <c r="W113" i="2"/>
  <c r="Z87" i="2"/>
  <c r="W88" i="2" s="1"/>
  <c r="Z73" i="2"/>
  <c r="W74" i="2"/>
  <c r="Z47" i="2"/>
  <c r="W48" i="2" s="1"/>
  <c r="Z38" i="2"/>
  <c r="W42" i="2"/>
  <c r="Z36" i="2"/>
  <c r="W37" i="2" s="1"/>
  <c r="Z28" i="2"/>
  <c r="W29" i="2"/>
  <c r="Z21" i="2"/>
  <c r="Z13" i="2"/>
  <c r="Z284" i="2"/>
  <c r="W285" i="2"/>
  <c r="Z270" i="2"/>
  <c r="W271" i="2" s="1"/>
  <c r="Z213" i="2"/>
  <c r="W214" i="2"/>
  <c r="Z198" i="2"/>
  <c r="W199" i="2" s="1"/>
  <c r="Z164" i="2"/>
  <c r="W165" i="2"/>
  <c r="Z158" i="2"/>
  <c r="W162" i="2" s="1"/>
  <c r="Z152" i="2"/>
  <c r="W153" i="2"/>
  <c r="Z138" i="2"/>
  <c r="W139" i="2" s="1"/>
  <c r="Z137" i="2"/>
  <c r="W138" i="2"/>
  <c r="Z121" i="2"/>
  <c r="W122" i="2" s="1"/>
  <c r="Z51" i="2"/>
  <c r="W52" i="2"/>
  <c r="Z43" i="2"/>
  <c r="W44" i="2" s="1"/>
  <c r="Z32" i="2"/>
  <c r="W33" i="2"/>
  <c r="Z17" i="2"/>
  <c r="Z200" i="2"/>
  <c r="W201" i="2" s="1"/>
  <c r="Z154" i="2"/>
  <c r="W155" i="2"/>
  <c r="Z19" i="2"/>
  <c r="Z37" i="2"/>
  <c r="W38" i="2" s="1"/>
  <c r="Z67" i="2"/>
  <c r="W68" i="2"/>
  <c r="Z238" i="2"/>
  <c r="W239" i="2" s="1"/>
  <c r="AD24" i="2"/>
  <c r="Z61" i="2"/>
  <c r="W62" i="2"/>
  <c r="Z95" i="2"/>
  <c r="W96" i="2" s="1"/>
  <c r="Z20" i="2"/>
  <c r="W21" i="2"/>
  <c r="Z46" i="2"/>
  <c r="W47" i="2" s="1"/>
  <c r="Z471" i="2"/>
  <c r="W472" i="2"/>
  <c r="X127" i="2"/>
  <c r="X81" i="2"/>
  <c r="X94" i="2"/>
  <c r="X403" i="2"/>
  <c r="X357" i="2"/>
  <c r="X369" i="2" s="1"/>
  <c r="X299" i="2"/>
  <c r="X417" i="2"/>
  <c r="X429" i="2" s="1"/>
  <c r="X343" i="2"/>
  <c r="X453" i="2"/>
  <c r="X470" i="2"/>
  <c r="Z135" i="2"/>
  <c r="W136" i="2"/>
  <c r="Z31" i="2"/>
  <c r="W32" i="2" s="1"/>
  <c r="Z29" i="2"/>
  <c r="W30" i="2"/>
  <c r="Z473" i="2"/>
  <c r="X162" i="2"/>
  <c r="X174" i="2" s="1"/>
  <c r="X123" i="2"/>
  <c r="X90" i="2"/>
  <c r="X117" i="2"/>
  <c r="X129" i="2" s="1"/>
  <c r="X185" i="2"/>
  <c r="X187" i="2"/>
  <c r="X347" i="2"/>
  <c r="X323" i="2"/>
  <c r="X368" i="2"/>
  <c r="X420" i="2"/>
  <c r="X465" i="2"/>
  <c r="X139" i="2"/>
  <c r="Z104" i="2"/>
  <c r="W105" i="2"/>
  <c r="N170" i="1"/>
  <c r="O170" i="1"/>
  <c r="P170" i="1"/>
  <c r="Q170" i="1"/>
  <c r="R170" i="1"/>
  <c r="S170" i="1"/>
  <c r="T170" i="1"/>
  <c r="J376" i="2"/>
  <c r="J104" i="2"/>
  <c r="J284" i="2"/>
  <c r="J248" i="2"/>
  <c r="J242" i="2"/>
  <c r="J351" i="2"/>
  <c r="J291" i="2"/>
  <c r="J225" i="2"/>
  <c r="Z22" i="2"/>
  <c r="Z211" i="2"/>
  <c r="W212" i="2" s="1"/>
  <c r="Z93" i="2"/>
  <c r="W94" i="2"/>
  <c r="Z12" i="2"/>
  <c r="Z119" i="2"/>
  <c r="W120" i="2"/>
  <c r="Z64" i="2"/>
  <c r="W65" i="2"/>
  <c r="Z447" i="2"/>
  <c r="W448" i="2"/>
  <c r="Z472" i="2"/>
  <c r="W473" i="2"/>
  <c r="Z467" i="2"/>
  <c r="W468" i="2"/>
  <c r="Z463" i="2"/>
  <c r="W464" i="2"/>
  <c r="Z454" i="2"/>
  <c r="W455" i="2"/>
  <c r="Z436" i="2"/>
  <c r="W437" i="2"/>
  <c r="Z453" i="2"/>
  <c r="W454" i="2"/>
  <c r="Z423" i="2"/>
  <c r="W424" i="2"/>
  <c r="Z397" i="2"/>
  <c r="W398" i="2"/>
  <c r="Z403" i="2"/>
  <c r="W404" i="2"/>
  <c r="Z419" i="2"/>
  <c r="W420" i="2"/>
  <c r="Z375" i="2"/>
  <c r="W376" i="2"/>
  <c r="Z434" i="2"/>
  <c r="W435" i="2"/>
  <c r="Z389" i="2"/>
  <c r="W390" i="2"/>
  <c r="Z346" i="2"/>
  <c r="W347" i="2"/>
  <c r="Z382" i="2"/>
  <c r="W383" i="2"/>
  <c r="Z348" i="2"/>
  <c r="W349" i="2"/>
  <c r="Z367" i="2"/>
  <c r="W368" i="2"/>
  <c r="Z335" i="2"/>
  <c r="W336" i="2"/>
  <c r="Z305" i="2"/>
  <c r="W306" i="2"/>
  <c r="Z360" i="2"/>
  <c r="W361" i="2"/>
  <c r="Z334" i="2"/>
  <c r="W335" i="2"/>
  <c r="Z14" i="2"/>
  <c r="Z136" i="2"/>
  <c r="W137" i="2"/>
  <c r="Z167" i="2"/>
  <c r="W168" i="2" s="1"/>
  <c r="Z90" i="2"/>
  <c r="W91" i="2"/>
  <c r="Z466" i="2"/>
  <c r="W467" i="2" s="1"/>
  <c r="Z449" i="2"/>
  <c r="W450" i="2"/>
  <c r="Z421" i="2"/>
  <c r="W422" i="2" s="1"/>
  <c r="Z405" i="2"/>
  <c r="W406" i="2"/>
  <c r="Z349" i="2"/>
  <c r="W350" i="2" s="1"/>
  <c r="Z372" i="2"/>
  <c r="W373" i="2"/>
  <c r="Z331" i="2"/>
  <c r="W332" i="2" s="1"/>
  <c r="Z362" i="2"/>
  <c r="W363" i="2"/>
  <c r="Z435" i="2"/>
  <c r="W436" i="2" s="1"/>
  <c r="Z465" i="2"/>
  <c r="W466" i="2"/>
  <c r="Z441" i="2"/>
  <c r="W442" i="2" s="1"/>
  <c r="Z411" i="2"/>
  <c r="W412" i="2"/>
  <c r="Z396" i="2"/>
  <c r="W397" i="2" s="1"/>
  <c r="Z374" i="2"/>
  <c r="W375" i="2"/>
  <c r="Z392" i="2"/>
  <c r="W393" i="2" s="1"/>
  <c r="Z322" i="2"/>
  <c r="W323" i="2"/>
  <c r="Z321" i="2"/>
  <c r="W322" i="2" s="1"/>
  <c r="Z410" i="2"/>
  <c r="W411" i="2"/>
  <c r="Z328" i="2"/>
  <c r="W329" i="2" s="1"/>
  <c r="Z283" i="2"/>
  <c r="W284" i="2"/>
  <c r="Z302" i="2"/>
  <c r="W303" i="2" s="1"/>
  <c r="Z373" i="2"/>
  <c r="W374" i="2"/>
  <c r="Z289" i="2"/>
  <c r="W290" i="2" s="1"/>
  <c r="Z404" i="2"/>
  <c r="W405" i="2"/>
  <c r="Z347" i="2"/>
  <c r="W348" i="2" s="1"/>
  <c r="Z402" i="2"/>
  <c r="W403" i="2"/>
  <c r="Z318" i="2"/>
  <c r="W319" i="2" s="1"/>
  <c r="Z359" i="2"/>
  <c r="W360" i="2"/>
  <c r="Z285" i="2"/>
  <c r="W286" i="2" s="1"/>
  <c r="Z316" i="2"/>
  <c r="W317" i="2"/>
  <c r="Z273" i="2"/>
  <c r="W274" i="2" s="1"/>
  <c r="Z228" i="2"/>
  <c r="W229" i="2"/>
  <c r="Z278" i="2"/>
  <c r="W282" i="2" s="1"/>
  <c r="Z225" i="2"/>
  <c r="W226" i="2"/>
  <c r="Z256" i="2"/>
  <c r="W257" i="2" s="1"/>
  <c r="Z222" i="2"/>
  <c r="W223" i="2"/>
  <c r="Z252" i="2"/>
  <c r="W253" i="2" s="1"/>
  <c r="Z301" i="2"/>
  <c r="W302" i="2"/>
  <c r="Z214" i="2"/>
  <c r="W215" i="2" s="1"/>
  <c r="Z184" i="2"/>
  <c r="W185" i="2"/>
  <c r="Z212" i="2"/>
  <c r="W213" i="2" s="1"/>
  <c r="Z178" i="2"/>
  <c r="W179" i="2"/>
  <c r="Z255" i="2"/>
  <c r="W256" i="2" s="1"/>
  <c r="Z199" i="2"/>
  <c r="W200" i="2"/>
  <c r="Z293" i="2"/>
  <c r="W297" i="2" s="1"/>
  <c r="Z151" i="2"/>
  <c r="W152" i="2"/>
  <c r="Z117" i="2"/>
  <c r="W118" i="2" s="1"/>
  <c r="Z74" i="2"/>
  <c r="W75" i="2"/>
  <c r="Z241" i="2"/>
  <c r="W242" i="2" s="1"/>
  <c r="Z192" i="2"/>
  <c r="W193" i="2"/>
  <c r="Z177" i="2"/>
  <c r="W178" i="2" s="1"/>
  <c r="Z148" i="2"/>
  <c r="W149" i="2"/>
  <c r="Z105" i="2"/>
  <c r="W106" i="2" s="1"/>
  <c r="Z62" i="2"/>
  <c r="W63" i="2"/>
  <c r="Z188" i="2"/>
  <c r="W192" i="2" s="1"/>
  <c r="Z140" i="2"/>
  <c r="W141" i="2"/>
  <c r="Z97" i="2"/>
  <c r="W98" i="2" s="1"/>
  <c r="Z63" i="2"/>
  <c r="W64" i="2"/>
  <c r="Z143" i="2"/>
  <c r="W147" i="2" s="1"/>
  <c r="Z107" i="2"/>
  <c r="W108" i="2"/>
  <c r="Z92" i="2"/>
  <c r="W93" i="2" s="1"/>
  <c r="Z232" i="2"/>
  <c r="W233" i="2"/>
  <c r="Z455" i="2"/>
  <c r="W456" i="2" s="1"/>
  <c r="Z469" i="2"/>
  <c r="W470" i="2"/>
  <c r="Z426" i="2"/>
  <c r="W427" i="2" s="1"/>
  <c r="Z406" i="2"/>
  <c r="W407" i="2"/>
  <c r="Z456" i="2"/>
  <c r="W457" i="2" s="1"/>
  <c r="Z337" i="2"/>
  <c r="W338" i="2"/>
  <c r="Z357" i="2"/>
  <c r="W358" i="2" s="1"/>
  <c r="Z350" i="2"/>
  <c r="W351" i="2"/>
  <c r="W174" i="2"/>
  <c r="C204" i="2"/>
  <c r="P159" i="2"/>
  <c r="P249" i="2"/>
  <c r="C99" i="2"/>
  <c r="C444" i="2"/>
  <c r="W399" i="2"/>
  <c r="W294" i="2"/>
  <c r="W249" i="2"/>
  <c r="P204" i="2"/>
  <c r="C399" i="2"/>
  <c r="AD414" i="2"/>
  <c r="C324" i="2"/>
  <c r="AD309" i="2"/>
  <c r="C174" i="2"/>
  <c r="W384" i="2"/>
  <c r="W219" i="2"/>
  <c r="P189" i="2"/>
  <c r="C459" i="2"/>
  <c r="AD429" i="2"/>
  <c r="AD69" i="2"/>
  <c r="P84" i="2"/>
  <c r="AD39" i="2"/>
  <c r="P399" i="2"/>
  <c r="W369" i="2"/>
  <c r="C24" i="2"/>
  <c r="C54" i="2"/>
  <c r="W444" i="2"/>
  <c r="W339" i="2"/>
  <c r="P294" i="2"/>
  <c r="AD144" i="2"/>
  <c r="P114" i="2"/>
  <c r="X419" i="2"/>
  <c r="X44" i="2"/>
  <c r="AD384" i="2"/>
  <c r="C369" i="2"/>
  <c r="AD354" i="2"/>
  <c r="AD99" i="2"/>
  <c r="W69" i="2"/>
  <c r="AD459" i="2"/>
  <c r="C339" i="2"/>
  <c r="P219" i="2"/>
  <c r="AD114" i="2"/>
  <c r="AD84" i="2"/>
  <c r="P54" i="2"/>
  <c r="AD444" i="2"/>
  <c r="AD339" i="2"/>
  <c r="W309" i="2"/>
  <c r="C264" i="2"/>
  <c r="W129" i="2"/>
  <c r="W22" i="2"/>
  <c r="W459" i="2"/>
  <c r="C309" i="2"/>
  <c r="W84" i="2"/>
  <c r="W54" i="2"/>
  <c r="AD264" i="2"/>
  <c r="C414" i="2"/>
  <c r="P279" i="2"/>
  <c r="W189" i="2"/>
  <c r="P39" i="2"/>
  <c r="W14" i="2"/>
  <c r="P459" i="2"/>
  <c r="P234" i="2"/>
  <c r="C234" i="2"/>
  <c r="C189" i="2"/>
  <c r="W18" i="2"/>
  <c r="W15" i="2"/>
  <c r="P444" i="2"/>
  <c r="C144" i="2"/>
  <c r="P369" i="2"/>
  <c r="C39" i="2"/>
  <c r="W354" i="2"/>
  <c r="P354" i="2"/>
  <c r="P339" i="2"/>
  <c r="P12" i="2"/>
  <c r="AD54" i="2"/>
  <c r="W264" i="2"/>
  <c r="P414" i="2"/>
  <c r="AD204" i="2"/>
  <c r="AD129" i="2"/>
  <c r="AD234" i="2"/>
  <c r="W324" i="2"/>
  <c r="W39" i="2"/>
  <c r="C249" i="2"/>
  <c r="C354" i="2"/>
  <c r="AD279" i="2"/>
  <c r="W13" i="2"/>
  <c r="W114" i="2"/>
  <c r="AD219" i="2"/>
  <c r="AD399" i="2"/>
  <c r="W159" i="2"/>
  <c r="AD159" i="2"/>
  <c r="W429" i="2"/>
  <c r="AD324" i="2"/>
  <c r="P474" i="2"/>
  <c r="C294" i="2"/>
  <c r="W279" i="2"/>
  <c r="AD174" i="2"/>
  <c r="C474" i="2"/>
  <c r="C69" i="2"/>
  <c r="C84" i="2"/>
  <c r="C384" i="2"/>
  <c r="C114" i="2"/>
  <c r="C219" i="2"/>
  <c r="W474" i="2"/>
  <c r="W144" i="2"/>
  <c r="AD474" i="2"/>
  <c r="AD369" i="2"/>
  <c r="P384" i="2"/>
  <c r="C159" i="2"/>
  <c r="P324" i="2"/>
  <c r="W12" i="2"/>
  <c r="AD294" i="2"/>
  <c r="P129" i="2"/>
  <c r="W23" i="2"/>
  <c r="P429" i="2"/>
  <c r="P99" i="2"/>
  <c r="C279" i="2"/>
  <c r="AD189" i="2"/>
  <c r="P309" i="2"/>
  <c r="W20" i="2"/>
  <c r="C12" i="2"/>
  <c r="W414" i="2"/>
  <c r="C429" i="2"/>
  <c r="P174" i="2"/>
  <c r="AD249" i="2"/>
  <c r="C129" i="2"/>
  <c r="P144" i="2"/>
  <c r="W204" i="2"/>
  <c r="AD12" i="2"/>
  <c r="Z34" i="2"/>
  <c r="W35" i="2" s="1"/>
  <c r="Z452" i="2"/>
  <c r="W453" i="2"/>
  <c r="Z464" i="2"/>
  <c r="W465" i="2" s="1"/>
  <c r="Z442" i="2"/>
  <c r="W443" i="2"/>
  <c r="Z418" i="2"/>
  <c r="W419" i="2" s="1"/>
  <c r="Z425" i="2"/>
  <c r="W426" i="2"/>
  <c r="Z366" i="2"/>
  <c r="W367" i="2" s="1"/>
  <c r="Z427" i="2"/>
  <c r="W428" i="2"/>
  <c r="Z409" i="2"/>
  <c r="W410" i="2" s="1"/>
  <c r="Z361" i="2"/>
  <c r="W362" i="2"/>
  <c r="Z381" i="2"/>
  <c r="W382" i="2" s="1"/>
  <c r="Z330" i="2"/>
  <c r="W331" i="2"/>
  <c r="Z395" i="2"/>
  <c r="W396" i="2" s="1"/>
  <c r="Z300" i="2"/>
  <c r="W301" i="2"/>
  <c r="Z315" i="2"/>
  <c r="W316" i="2" s="1"/>
  <c r="Z307" i="2"/>
  <c r="W308" i="2"/>
  <c r="Z276" i="2"/>
  <c r="W277" i="2" s="1"/>
  <c r="Z376" i="2"/>
  <c r="W377" i="2"/>
  <c r="Z378" i="2"/>
  <c r="W379" i="2" s="1"/>
  <c r="Z333" i="2"/>
  <c r="W334" i="2"/>
  <c r="Z329" i="2"/>
  <c r="W330" i="2" s="1"/>
  <c r="Z312" i="2"/>
  <c r="W313" i="2"/>
  <c r="Z245" i="2"/>
  <c r="W246" i="2" s="1"/>
  <c r="Z313" i="2"/>
  <c r="W314" i="2"/>
  <c r="Z332" i="2"/>
  <c r="W333" i="2" s="1"/>
  <c r="Z288" i="2"/>
  <c r="W289" i="2"/>
  <c r="Z292" i="2"/>
  <c r="W293" i="2" s="1"/>
  <c r="Z277" i="2"/>
  <c r="W278" i="2"/>
  <c r="Z48" i="2"/>
  <c r="W49" i="2" s="1"/>
  <c r="Z78" i="2"/>
  <c r="W79" i="2"/>
  <c r="Z163" i="2"/>
  <c r="W164" i="2" s="1"/>
  <c r="Z443" i="2"/>
  <c r="W447" i="2"/>
  <c r="Z457" i="2"/>
  <c r="W458" i="2" s="1"/>
  <c r="Z412" i="2"/>
  <c r="W413" i="2"/>
  <c r="Z394" i="2"/>
  <c r="W395" i="2" s="1"/>
  <c r="Z432" i="2"/>
  <c r="W433" i="2"/>
  <c r="Z417" i="2"/>
  <c r="W418" i="2" s="1"/>
  <c r="Z345" i="2"/>
  <c r="W346" i="2"/>
  <c r="Z338" i="2"/>
  <c r="W342" i="2" s="1"/>
  <c r="Z271" i="2"/>
  <c r="W272" i="2"/>
  <c r="Z353" i="2"/>
  <c r="W357" i="2" s="1"/>
  <c r="Z327" i="2"/>
  <c r="W328" i="2"/>
  <c r="Z364" i="2"/>
  <c r="W365" i="2" s="1"/>
  <c r="Z233" i="2"/>
  <c r="W237" i="2"/>
  <c r="Z247" i="2"/>
  <c r="W248" i="2" s="1"/>
  <c r="Z267" i="2"/>
  <c r="W268" i="2"/>
  <c r="Z217" i="2"/>
  <c r="W218" i="2" s="1"/>
  <c r="Z210" i="2"/>
  <c r="W211" i="2"/>
  <c r="Z272" i="2"/>
  <c r="W273" i="2" s="1"/>
  <c r="Z186" i="2"/>
  <c r="W187" i="2"/>
  <c r="Z229" i="2"/>
  <c r="W230" i="2" s="1"/>
  <c r="Z173" i="2"/>
  <c r="W177" i="2"/>
  <c r="Z168" i="2"/>
  <c r="W169" i="2" s="1"/>
  <c r="Z108" i="2"/>
  <c r="W109" i="2"/>
  <c r="Z57" i="2"/>
  <c r="W58" i="2" s="1"/>
  <c r="Z218" i="2"/>
  <c r="W222" i="2"/>
  <c r="Z172" i="2"/>
  <c r="W173" i="2" s="1"/>
  <c r="Z344" i="2"/>
  <c r="W345" i="2"/>
  <c r="Z304" i="2"/>
  <c r="W305" i="2" s="1"/>
  <c r="Z317" i="2"/>
  <c r="W318" i="2"/>
  <c r="Z320" i="2"/>
  <c r="W321" i="2" s="1"/>
  <c r="Z433" i="2"/>
  <c r="W434" i="2"/>
  <c r="Z254" i="2"/>
  <c r="W255" i="2" s="1"/>
  <c r="Z49" i="2"/>
  <c r="W50" i="2"/>
  <c r="Z153" i="2"/>
  <c r="W154" i="2" s="1"/>
  <c r="Z27" i="2"/>
  <c r="W28" i="2"/>
  <c r="Z16" i="2"/>
  <c r="W17" i="2" s="1"/>
  <c r="Z438" i="2"/>
  <c r="W439" i="2"/>
  <c r="X150" i="2"/>
  <c r="X47" i="2"/>
  <c r="X83" i="2"/>
  <c r="X224" i="2"/>
  <c r="X240" i="2"/>
  <c r="X413" i="2"/>
  <c r="X43" i="2"/>
  <c r="X427" i="2"/>
  <c r="X348" i="2"/>
  <c r="X262" i="2"/>
  <c r="X306" i="2"/>
  <c r="X181" i="2"/>
  <c r="X134" i="2"/>
  <c r="X66" i="2"/>
  <c r="X275" i="2"/>
  <c r="X153" i="2"/>
  <c r="X467" i="2"/>
  <c r="X377" i="2"/>
  <c r="X374" i="2"/>
  <c r="X248" i="2"/>
  <c r="X393" i="2"/>
  <c r="X152" i="2"/>
  <c r="X48" i="2"/>
  <c r="AD13" i="2"/>
  <c r="AI11" i="2"/>
  <c r="P65" i="1"/>
  <c r="AI12" i="2"/>
  <c r="AI13" i="2"/>
  <c r="AD14" i="2"/>
  <c r="Q65" i="1"/>
  <c r="R65" i="1"/>
  <c r="AI14" i="2"/>
  <c r="AI15" i="2"/>
  <c r="AD15" i="2"/>
  <c r="S65" i="1"/>
  <c r="AI16" i="2"/>
  <c r="T65" i="1"/>
  <c r="AD16" i="2"/>
  <c r="AD17" i="2"/>
  <c r="AI17" i="2"/>
  <c r="AD18" i="2"/>
  <c r="AI18" i="2"/>
  <c r="AD19" i="2"/>
  <c r="AI19" i="2"/>
  <c r="AD20" i="2"/>
  <c r="AI20" i="2"/>
  <c r="AD21" i="2"/>
  <c r="AI21" i="2"/>
  <c r="AD22" i="2"/>
  <c r="AI22" i="2"/>
  <c r="AD23" i="2"/>
  <c r="AI23" i="2"/>
  <c r="AI24" i="2"/>
  <c r="AD27" i="2"/>
  <c r="AI25" i="2"/>
  <c r="AI26" i="2"/>
  <c r="AI27" i="2"/>
  <c r="AD28" i="2"/>
  <c r="AD29" i="2"/>
  <c r="AI28" i="2"/>
  <c r="AI29" i="2"/>
  <c r="AD30" i="2"/>
  <c r="AI30" i="2"/>
  <c r="AI31" i="2"/>
  <c r="AI32" i="2"/>
  <c r="AD31" i="2"/>
  <c r="AD32" i="2"/>
  <c r="AI33" i="2"/>
  <c r="AI34" i="2"/>
  <c r="AD33" i="2"/>
  <c r="AD34" i="2"/>
  <c r="AI35" i="2"/>
  <c r="AD35" i="2"/>
  <c r="AI36" i="2"/>
  <c r="AD36" i="2"/>
  <c r="AD37" i="2"/>
  <c r="AD38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7" i="2"/>
  <c r="AD58" i="2"/>
  <c r="AD59" i="2"/>
  <c r="AD60" i="2"/>
  <c r="AD61" i="2"/>
  <c r="AD62" i="2"/>
  <c r="AD63" i="2"/>
  <c r="AD64" i="2"/>
  <c r="AD65" i="2"/>
  <c r="AD66" i="2"/>
  <c r="AD67" i="2"/>
  <c r="AD68" i="2"/>
  <c r="AD72" i="2"/>
  <c r="AD73" i="2"/>
  <c r="AD74" i="2"/>
  <c r="AD75" i="2"/>
  <c r="AD76" i="2"/>
  <c r="AD77" i="2"/>
  <c r="AD78" i="2"/>
  <c r="AD79" i="2"/>
  <c r="AD80" i="2"/>
  <c r="AD81" i="2"/>
  <c r="AD82" i="2"/>
  <c r="AD83" i="2"/>
  <c r="AE87" i="2"/>
  <c r="AD87" i="2"/>
  <c r="AF87" i="2"/>
  <c r="AG87" i="2"/>
  <c r="AD88" i="2"/>
  <c r="AE88" i="2"/>
  <c r="AF88" i="2"/>
  <c r="AG88" i="2"/>
  <c r="AD89" i="2"/>
  <c r="AE89" i="2"/>
  <c r="AF89" i="2"/>
  <c r="AG89" i="2"/>
  <c r="AE90" i="2"/>
  <c r="AF90" i="2"/>
  <c r="AG90" i="2"/>
  <c r="AD90" i="2"/>
  <c r="AD91" i="2"/>
  <c r="AE91" i="2"/>
  <c r="AF91" i="2"/>
  <c r="AG91" i="2"/>
  <c r="AD92" i="2"/>
  <c r="AE92" i="2"/>
  <c r="AF92" i="2"/>
  <c r="AG92" i="2"/>
  <c r="AD93" i="2"/>
  <c r="AE93" i="2"/>
  <c r="AF93" i="2"/>
  <c r="AG93" i="2"/>
  <c r="AE94" i="2"/>
  <c r="AD94" i="2"/>
  <c r="AF94" i="2"/>
  <c r="AG94" i="2"/>
  <c r="AD95" i="2"/>
  <c r="AE95" i="2"/>
  <c r="AF95" i="2"/>
  <c r="AG95" i="2"/>
  <c r="AD96" i="2"/>
  <c r="AE96" i="2"/>
  <c r="AF96" i="2"/>
  <c r="AG96" i="2"/>
  <c r="AE97" i="2"/>
  <c r="AF97" i="2"/>
  <c r="AG97" i="2"/>
  <c r="AD97" i="2"/>
  <c r="AD98" i="2"/>
  <c r="AE98" i="2"/>
  <c r="AE99" i="2"/>
  <c r="AW11" i="2"/>
  <c r="AF98" i="2"/>
  <c r="AF99" i="2"/>
  <c r="BA11" i="2"/>
  <c r="AG98" i="2"/>
  <c r="AE102" i="2"/>
  <c r="AD102" i="2"/>
  <c r="AF102" i="2"/>
  <c r="AG102" i="2"/>
  <c r="AE103" i="2"/>
  <c r="AF103" i="2"/>
  <c r="AG103" i="2"/>
  <c r="AD103" i="2"/>
  <c r="AE104" i="2"/>
  <c r="AF104" i="2"/>
  <c r="AG104" i="2"/>
  <c r="AD104" i="2"/>
  <c r="AE105" i="2"/>
  <c r="AF105" i="2"/>
  <c r="AD105" i="2"/>
  <c r="AG105" i="2"/>
  <c r="AD106" i="2"/>
  <c r="AE106" i="2"/>
  <c r="AF106" i="2"/>
  <c r="AG106" i="2"/>
  <c r="AE107" i="2"/>
  <c r="AD107" i="2"/>
  <c r="AF107" i="2"/>
  <c r="AG107" i="2"/>
  <c r="AD108" i="2"/>
  <c r="AE108" i="2"/>
  <c r="AF108" i="2"/>
  <c r="AG108" i="2"/>
  <c r="AE109" i="2"/>
  <c r="AF109" i="2"/>
  <c r="AG109" i="2"/>
  <c r="AD109" i="2"/>
  <c r="AD110" i="2"/>
  <c r="AE110" i="2"/>
  <c r="AF110" i="2"/>
  <c r="AG110" i="2"/>
  <c r="AD111" i="2"/>
  <c r="AE111" i="2"/>
  <c r="AF111" i="2"/>
  <c r="AG111" i="2"/>
  <c r="AE112" i="2"/>
  <c r="AF112" i="2"/>
  <c r="AG112" i="2"/>
  <c r="AD112" i="2"/>
  <c r="AD113" i="2"/>
  <c r="AE113" i="2"/>
  <c r="AE114" i="2"/>
  <c r="AW12" i="2"/>
  <c r="AF113" i="2"/>
  <c r="AF114" i="2"/>
  <c r="BA12" i="2"/>
  <c r="AG113" i="2"/>
  <c r="AE117" i="2"/>
  <c r="AD117" i="2"/>
  <c r="AF117" i="2"/>
  <c r="AG117" i="2"/>
  <c r="AD118" i="2"/>
  <c r="AE118" i="2"/>
  <c r="AF118" i="2"/>
  <c r="AG118" i="2"/>
  <c r="AD119" i="2"/>
  <c r="AE119" i="2"/>
  <c r="AF119" i="2"/>
  <c r="AG119" i="2"/>
  <c r="AD120" i="2"/>
  <c r="AE120" i="2"/>
  <c r="AF120" i="2"/>
  <c r="AG120" i="2"/>
  <c r="AE121" i="2"/>
  <c r="AF121" i="2"/>
  <c r="AG121" i="2"/>
  <c r="AD121" i="2"/>
  <c r="AE122" i="2"/>
  <c r="AF122" i="2"/>
  <c r="AG122" i="2"/>
  <c r="AD122" i="2"/>
  <c r="AE123" i="2"/>
  <c r="AF123" i="2"/>
  <c r="AG123" i="2"/>
  <c r="AD123" i="2"/>
  <c r="AE124" i="2"/>
  <c r="AF124" i="2"/>
  <c r="AD124" i="2"/>
  <c r="AG124" i="2"/>
  <c r="AE125" i="2"/>
  <c r="AD125" i="2"/>
  <c r="AF125" i="2"/>
  <c r="AG125" i="2"/>
  <c r="AD126" i="2"/>
  <c r="AE126" i="2"/>
  <c r="AF126" i="2"/>
  <c r="AG126" i="2"/>
  <c r="AD127" i="2"/>
  <c r="AE127" i="2"/>
  <c r="AF127" i="2"/>
  <c r="AG127" i="2"/>
  <c r="AD128" i="2"/>
  <c r="AE128" i="2"/>
  <c r="AE129" i="2"/>
  <c r="AW13" i="2"/>
  <c r="AF128" i="2"/>
  <c r="AF129" i="2"/>
  <c r="BA13" i="2"/>
  <c r="AG128" i="2"/>
  <c r="AE132" i="2"/>
  <c r="AF132" i="2"/>
  <c r="AD132" i="2"/>
  <c r="AG132" i="2"/>
  <c r="AD133" i="2"/>
  <c r="AE133" i="2"/>
  <c r="AF133" i="2"/>
  <c r="AG133" i="2"/>
  <c r="AE134" i="2"/>
  <c r="AD134" i="2"/>
  <c r="AF134" i="2"/>
  <c r="AG134" i="2"/>
  <c r="AE135" i="2"/>
  <c r="AF135" i="2"/>
  <c r="AG135" i="2"/>
  <c r="AD135" i="2"/>
  <c r="AE136" i="2"/>
  <c r="AF136" i="2"/>
  <c r="AG136" i="2"/>
  <c r="AD136" i="2"/>
  <c r="AD137" i="2"/>
  <c r="AE137" i="2"/>
  <c r="AF137" i="2"/>
  <c r="AG137" i="2"/>
  <c r="AE138" i="2"/>
  <c r="AF138" i="2"/>
  <c r="AG138" i="2"/>
  <c r="AD138" i="2"/>
  <c r="AE139" i="2"/>
  <c r="AF139" i="2"/>
  <c r="AG139" i="2"/>
  <c r="AD139" i="2"/>
  <c r="AE140" i="2"/>
  <c r="AD140" i="2"/>
  <c r="AF140" i="2"/>
  <c r="AG140" i="2"/>
  <c r="AE141" i="2"/>
  <c r="AF141" i="2"/>
  <c r="AG141" i="2"/>
  <c r="AD141" i="2"/>
  <c r="AD142" i="2"/>
  <c r="AE142" i="2"/>
  <c r="AF142" i="2"/>
  <c r="AG142" i="2"/>
  <c r="AD143" i="2"/>
  <c r="AE143" i="2"/>
  <c r="AE144" i="2"/>
  <c r="AW14" i="2"/>
  <c r="AF143" i="2"/>
  <c r="AF144" i="2"/>
  <c r="BA14" i="2"/>
  <c r="AG143" i="2"/>
  <c r="AD147" i="2"/>
  <c r="AE147" i="2"/>
  <c r="AF147" i="2"/>
  <c r="AG147" i="2"/>
  <c r="AD148" i="2"/>
  <c r="AE148" i="2"/>
  <c r="AF148" i="2"/>
  <c r="AG148" i="2"/>
  <c r="AE149" i="2"/>
  <c r="AD149" i="2"/>
  <c r="AF149" i="2"/>
  <c r="AG149" i="2"/>
  <c r="AE150" i="2"/>
  <c r="AF150" i="2"/>
  <c r="AG150" i="2"/>
  <c r="AD150" i="2"/>
  <c r="AD151" i="2"/>
  <c r="AE151" i="2"/>
  <c r="AF151" i="2"/>
  <c r="AG151" i="2"/>
  <c r="AD152" i="2"/>
  <c r="AE152" i="2"/>
  <c r="AF152" i="2"/>
  <c r="AG152" i="2"/>
  <c r="AD153" i="2"/>
  <c r="AE153" i="2"/>
  <c r="AF153" i="2"/>
  <c r="AG153" i="2"/>
  <c r="AE154" i="2"/>
  <c r="AF154" i="2"/>
  <c r="AG154" i="2"/>
  <c r="AD154" i="2"/>
  <c r="AD155" i="2"/>
  <c r="AE155" i="2"/>
  <c r="AF155" i="2"/>
  <c r="AG155" i="2"/>
  <c r="AD156" i="2"/>
  <c r="AE156" i="2"/>
  <c r="AF156" i="2"/>
  <c r="AG156" i="2"/>
  <c r="AE157" i="2"/>
  <c r="AF157" i="2"/>
  <c r="AG157" i="2"/>
  <c r="AD157" i="2"/>
  <c r="AD158" i="2"/>
  <c r="AE158" i="2"/>
  <c r="AE159" i="2"/>
  <c r="AW15" i="2"/>
  <c r="AF158" i="2"/>
  <c r="AF159" i="2"/>
  <c r="BA15" i="2"/>
  <c r="AG158" i="2"/>
  <c r="AE162" i="2"/>
  <c r="AF162" i="2"/>
  <c r="AG162" i="2"/>
  <c r="AD162" i="2"/>
  <c r="AD163" i="2"/>
  <c r="AE163" i="2"/>
  <c r="AF163" i="2"/>
  <c r="AG163" i="2"/>
  <c r="AE164" i="2"/>
  <c r="AF164" i="2"/>
  <c r="AD164" i="2"/>
  <c r="AG164" i="2"/>
  <c r="AD165" i="2"/>
  <c r="AE165" i="2"/>
  <c r="AF165" i="2"/>
  <c r="AG165" i="2"/>
  <c r="AD166" i="2"/>
  <c r="AE166" i="2"/>
  <c r="AF166" i="2"/>
  <c r="AG166" i="2"/>
  <c r="AE167" i="2"/>
  <c r="AF167" i="2"/>
  <c r="AG167" i="2"/>
  <c r="AD167" i="2"/>
  <c r="AE168" i="2"/>
  <c r="AF168" i="2"/>
  <c r="AG168" i="2"/>
  <c r="AD168" i="2"/>
  <c r="AD169" i="2"/>
  <c r="AE169" i="2"/>
  <c r="AF169" i="2"/>
  <c r="AG169" i="2"/>
  <c r="AD170" i="2"/>
  <c r="AE170" i="2"/>
  <c r="AF170" i="2"/>
  <c r="AG170" i="2"/>
  <c r="AE171" i="2"/>
  <c r="AD171" i="2"/>
  <c r="AF171" i="2"/>
  <c r="AG171" i="2"/>
  <c r="AD172" i="2"/>
  <c r="AE172" i="2"/>
  <c r="AF172" i="2"/>
  <c r="AG172" i="2"/>
  <c r="AD173" i="2"/>
  <c r="AE173" i="2"/>
  <c r="AE174" i="2"/>
  <c r="AW16" i="2"/>
  <c r="AF173" i="2"/>
  <c r="AF174" i="2"/>
  <c r="BA16" i="2"/>
  <c r="AG173" i="2"/>
  <c r="AE177" i="2"/>
  <c r="AF177" i="2"/>
  <c r="AG177" i="2"/>
  <c r="AD177" i="2"/>
  <c r="AE178" i="2"/>
  <c r="AF178" i="2"/>
  <c r="AG178" i="2"/>
  <c r="AD178" i="2"/>
  <c r="AE179" i="2"/>
  <c r="AF179" i="2"/>
  <c r="AG179" i="2"/>
  <c r="AD179" i="2"/>
  <c r="AE180" i="2"/>
  <c r="AD180" i="2"/>
  <c r="AF180" i="2"/>
  <c r="AG180" i="2"/>
  <c r="AD181" i="2"/>
  <c r="AE181" i="2"/>
  <c r="AF181" i="2"/>
  <c r="AG181" i="2"/>
  <c r="AD182" i="2"/>
  <c r="AE182" i="2"/>
  <c r="AF182" i="2"/>
  <c r="AG182" i="2"/>
  <c r="AD183" i="2"/>
  <c r="AE183" i="2"/>
  <c r="AF183" i="2"/>
  <c r="AG183" i="2"/>
  <c r="AE184" i="2"/>
  <c r="AF184" i="2"/>
  <c r="AG184" i="2"/>
  <c r="AD184" i="2"/>
  <c r="AE185" i="2"/>
  <c r="AF185" i="2"/>
  <c r="AG185" i="2"/>
  <c r="AD185" i="2"/>
  <c r="AE186" i="2"/>
  <c r="AF186" i="2"/>
  <c r="AG186" i="2"/>
  <c r="AD186" i="2"/>
  <c r="AD187" i="2"/>
  <c r="AE187" i="2"/>
  <c r="AF187" i="2"/>
  <c r="AG187" i="2"/>
  <c r="AE188" i="2"/>
  <c r="AE189" i="2"/>
  <c r="AW17" i="2"/>
  <c r="AD188" i="2"/>
  <c r="AF188" i="2"/>
  <c r="AF189" i="2"/>
  <c r="BA17" i="2"/>
  <c r="AG188" i="2"/>
  <c r="AE192" i="2"/>
  <c r="AD192" i="2"/>
  <c r="AF192" i="2"/>
  <c r="AG192" i="2"/>
  <c r="AD193" i="2"/>
  <c r="AE193" i="2"/>
  <c r="AF193" i="2"/>
  <c r="AG193" i="2"/>
  <c r="AE194" i="2"/>
  <c r="AF194" i="2"/>
  <c r="AD194" i="2"/>
  <c r="AG194" i="2"/>
  <c r="AD195" i="2"/>
  <c r="AE195" i="2"/>
  <c r="AF195" i="2"/>
  <c r="AG195" i="2"/>
  <c r="AD196" i="2"/>
  <c r="AE196" i="2"/>
  <c r="AF196" i="2"/>
  <c r="AG196" i="2"/>
  <c r="AE197" i="2"/>
  <c r="AF197" i="2"/>
  <c r="AG197" i="2"/>
  <c r="AD197" i="2"/>
  <c r="AE198" i="2"/>
  <c r="AD198" i="2"/>
  <c r="AF198" i="2"/>
  <c r="AG198" i="2"/>
  <c r="AD199" i="2"/>
  <c r="AE199" i="2"/>
  <c r="AF199" i="2"/>
  <c r="AG199" i="2"/>
  <c r="AD200" i="2"/>
  <c r="AE200" i="2"/>
  <c r="AF200" i="2"/>
  <c r="AG200" i="2"/>
  <c r="AE201" i="2"/>
  <c r="AD201" i="2"/>
  <c r="AF201" i="2"/>
  <c r="AG201" i="2"/>
  <c r="AE202" i="2"/>
  <c r="AF202" i="2"/>
  <c r="AG202" i="2"/>
  <c r="AD202" i="2"/>
  <c r="AD203" i="2"/>
  <c r="AE203" i="2"/>
  <c r="AE204" i="2"/>
  <c r="AW18" i="2"/>
  <c r="AF203" i="2"/>
  <c r="AF204" i="2"/>
  <c r="BA18" i="2"/>
  <c r="AG203" i="2"/>
  <c r="AE207" i="2"/>
  <c r="AF207" i="2"/>
  <c r="AG207" i="2"/>
  <c r="AD207" i="2"/>
  <c r="AD208" i="2"/>
  <c r="AE208" i="2"/>
  <c r="AF208" i="2"/>
  <c r="AG208" i="2"/>
  <c r="AE209" i="2"/>
  <c r="AF209" i="2"/>
  <c r="AD209" i="2"/>
  <c r="AG209" i="2"/>
  <c r="AD210" i="2"/>
  <c r="AE210" i="2"/>
  <c r="AF210" i="2"/>
  <c r="AG210" i="2"/>
  <c r="AE211" i="2"/>
  <c r="AD211" i="2"/>
  <c r="AF211" i="2"/>
  <c r="AG211" i="2"/>
  <c r="AD212" i="2"/>
  <c r="AE212" i="2"/>
  <c r="AF212" i="2"/>
  <c r="AG212" i="2"/>
  <c r="AE213" i="2"/>
  <c r="AF213" i="2"/>
  <c r="AG213" i="2"/>
  <c r="AD213" i="2"/>
  <c r="AD214" i="2"/>
  <c r="AE214" i="2"/>
  <c r="AF214" i="2"/>
  <c r="AG214" i="2"/>
  <c r="AE215" i="2"/>
  <c r="AD215" i="2"/>
  <c r="AF215" i="2"/>
  <c r="AG215" i="2"/>
  <c r="AD216" i="2"/>
  <c r="AE216" i="2"/>
  <c r="AF216" i="2"/>
  <c r="AG216" i="2"/>
  <c r="AE217" i="2"/>
  <c r="AF217" i="2"/>
  <c r="AG217" i="2"/>
  <c r="AD217" i="2"/>
  <c r="AE218" i="2"/>
  <c r="AE219" i="2"/>
  <c r="AW19" i="2"/>
  <c r="AD218" i="2"/>
  <c r="AF218" i="2"/>
  <c r="AF219" i="2"/>
  <c r="BA19" i="2"/>
  <c r="AG218" i="2"/>
  <c r="AD222" i="2"/>
  <c r="AE222" i="2"/>
  <c r="AF222" i="2"/>
  <c r="AG222" i="2"/>
  <c r="AD223" i="2"/>
  <c r="AE223" i="2"/>
  <c r="AF223" i="2"/>
  <c r="AG223" i="2"/>
  <c r="AE224" i="2"/>
  <c r="AF224" i="2"/>
  <c r="AD224" i="2"/>
  <c r="AG224" i="2"/>
  <c r="AD225" i="2"/>
  <c r="AE225" i="2"/>
  <c r="AF225" i="2"/>
  <c r="AG225" i="2"/>
  <c r="AD226" i="2"/>
  <c r="AE226" i="2"/>
  <c r="AF226" i="2"/>
  <c r="AG226" i="2"/>
  <c r="AE227" i="2"/>
  <c r="AD227" i="2"/>
  <c r="AF227" i="2"/>
  <c r="AG227" i="2"/>
  <c r="AD228" i="2"/>
  <c r="AE228" i="2"/>
  <c r="AF228" i="2"/>
  <c r="AG228" i="2"/>
  <c r="AE229" i="2"/>
  <c r="AF229" i="2"/>
  <c r="AG229" i="2"/>
  <c r="AD229" i="2"/>
  <c r="AD230" i="2"/>
  <c r="AE230" i="2"/>
  <c r="AF230" i="2"/>
  <c r="AG230" i="2"/>
  <c r="AD231" i="2"/>
  <c r="AE231" i="2"/>
  <c r="AF231" i="2"/>
  <c r="AG231" i="2"/>
  <c r="AE232" i="2"/>
  <c r="AF232" i="2"/>
  <c r="AG232" i="2"/>
  <c r="AD232" i="2"/>
  <c r="AD233" i="2"/>
  <c r="AE233" i="2"/>
  <c r="AE234" i="2"/>
  <c r="AW20" i="2"/>
  <c r="AF233" i="2"/>
  <c r="AF234" i="2"/>
  <c r="BA20" i="2"/>
  <c r="AG233" i="2"/>
  <c r="AE237" i="2"/>
  <c r="AD237" i="2"/>
  <c r="AF237" i="2"/>
  <c r="AG237" i="2"/>
  <c r="AE238" i="2"/>
  <c r="AF238" i="2"/>
  <c r="AD238" i="2"/>
  <c r="AG238" i="2"/>
  <c r="AE239" i="2"/>
  <c r="AD239" i="2"/>
  <c r="AF239" i="2"/>
  <c r="AG239" i="2"/>
  <c r="AD240" i="2"/>
  <c r="AE240" i="2"/>
  <c r="AF240" i="2"/>
  <c r="AG240" i="2"/>
  <c r="AD241" i="2"/>
  <c r="AE241" i="2"/>
  <c r="AF241" i="2"/>
  <c r="AG241" i="2"/>
  <c r="AE242" i="2"/>
  <c r="AF242" i="2"/>
  <c r="AG242" i="2"/>
  <c r="AD242" i="2"/>
  <c r="AD243" i="2"/>
  <c r="AE243" i="2"/>
  <c r="AF243" i="2"/>
  <c r="AG243" i="2"/>
  <c r="AD244" i="2"/>
  <c r="AE244" i="2"/>
  <c r="AF244" i="2"/>
  <c r="AG244" i="2"/>
  <c r="AE245" i="2"/>
  <c r="AD245" i="2"/>
  <c r="AF245" i="2"/>
  <c r="AG245" i="2"/>
  <c r="AD246" i="2"/>
  <c r="AE246" i="2"/>
  <c r="AF246" i="2"/>
  <c r="AG246" i="2"/>
  <c r="AD247" i="2"/>
  <c r="AE247" i="2"/>
  <c r="AF247" i="2"/>
  <c r="AG247" i="2"/>
  <c r="AE248" i="2"/>
  <c r="AF248" i="2"/>
  <c r="AF249" i="2"/>
  <c r="BA21" i="2"/>
  <c r="AD248" i="2"/>
  <c r="AE249" i="2"/>
  <c r="AW21" i="2"/>
  <c r="AG248" i="2"/>
  <c r="AD252" i="2"/>
  <c r="AE252" i="2"/>
  <c r="AF252" i="2"/>
  <c r="AG252" i="2"/>
  <c r="AE253" i="2"/>
  <c r="AD253" i="2"/>
  <c r="AF253" i="2"/>
  <c r="AG253" i="2"/>
  <c r="AE254" i="2"/>
  <c r="AF254" i="2"/>
  <c r="AD254" i="2"/>
  <c r="AG254" i="2"/>
  <c r="AE255" i="2"/>
  <c r="AD255" i="2"/>
  <c r="AF255" i="2"/>
  <c r="AG255" i="2"/>
  <c r="AE256" i="2"/>
  <c r="AF256" i="2"/>
  <c r="AG256" i="2"/>
  <c r="AD256" i="2"/>
  <c r="AE257" i="2"/>
  <c r="AF257" i="2"/>
  <c r="AG257" i="2"/>
  <c r="AD257" i="2"/>
  <c r="AD258" i="2"/>
  <c r="AE258" i="2"/>
  <c r="AF258" i="2"/>
  <c r="AG258" i="2"/>
  <c r="AD259" i="2"/>
  <c r="AE259" i="2"/>
  <c r="AF259" i="2"/>
  <c r="AG259" i="2"/>
  <c r="AD260" i="2"/>
  <c r="AE260" i="2"/>
  <c r="AF260" i="2"/>
  <c r="AG260" i="2"/>
  <c r="AE261" i="2"/>
  <c r="AF261" i="2"/>
  <c r="AG261" i="2"/>
  <c r="AD261" i="2"/>
  <c r="AE262" i="2"/>
  <c r="AF262" i="2"/>
  <c r="AG262" i="2"/>
  <c r="AD262" i="2"/>
  <c r="AD263" i="2"/>
  <c r="AE263" i="2"/>
  <c r="AE264" i="2"/>
  <c r="AW22" i="2"/>
  <c r="AF263" i="2"/>
  <c r="AF264" i="2"/>
  <c r="BA22" i="2"/>
  <c r="AG263" i="2"/>
  <c r="AD267" i="2"/>
  <c r="AE267" i="2"/>
  <c r="AF267" i="2"/>
  <c r="AG267" i="2"/>
  <c r="AD268" i="2"/>
  <c r="AE268" i="2"/>
  <c r="AF268" i="2"/>
  <c r="AG268" i="2"/>
  <c r="AE269" i="2"/>
  <c r="AF269" i="2"/>
  <c r="AG269" i="2"/>
  <c r="AD269" i="2"/>
  <c r="AE270" i="2"/>
  <c r="AF270" i="2"/>
  <c r="AG270" i="2"/>
  <c r="AD270" i="2"/>
  <c r="AD271" i="2"/>
  <c r="AE271" i="2"/>
  <c r="AF271" i="2"/>
  <c r="AG271" i="2"/>
  <c r="AD272" i="2"/>
  <c r="AE272" i="2"/>
  <c r="AF272" i="2"/>
  <c r="AG272" i="2"/>
  <c r="AD273" i="2"/>
  <c r="AE273" i="2"/>
  <c r="AF273" i="2"/>
  <c r="AG273" i="2"/>
  <c r="AD274" i="2"/>
  <c r="AE274" i="2"/>
  <c r="AF274" i="2"/>
  <c r="AG274" i="2"/>
  <c r="AD275" i="2"/>
  <c r="AE275" i="2"/>
  <c r="AF275" i="2"/>
  <c r="AG275" i="2"/>
  <c r="AE276" i="2"/>
  <c r="AF276" i="2"/>
  <c r="AG276" i="2"/>
  <c r="AD276" i="2"/>
  <c r="AE277" i="2"/>
  <c r="AD277" i="2"/>
  <c r="AF277" i="2"/>
  <c r="AG277" i="2"/>
  <c r="AD278" i="2"/>
  <c r="AE278" i="2"/>
  <c r="AE279" i="2"/>
  <c r="AW23" i="2"/>
  <c r="AF278" i="2"/>
  <c r="AF279" i="2"/>
  <c r="BA23" i="2"/>
  <c r="AG278" i="2"/>
  <c r="AE282" i="2"/>
  <c r="AD282" i="2"/>
  <c r="AF282" i="2"/>
  <c r="AG282" i="2"/>
  <c r="AE283" i="2"/>
  <c r="AF283" i="2"/>
  <c r="AD283" i="2"/>
  <c r="AG283" i="2"/>
  <c r="AE284" i="2"/>
  <c r="AF284" i="2"/>
  <c r="AD284" i="2"/>
  <c r="AG284" i="2"/>
  <c r="AD285" i="2"/>
  <c r="AE285" i="2"/>
  <c r="AF285" i="2"/>
  <c r="AG285" i="2"/>
  <c r="AE286" i="2"/>
  <c r="AF286" i="2"/>
  <c r="AG286" i="2"/>
  <c r="AD286" i="2"/>
  <c r="AE287" i="2"/>
  <c r="AF287" i="2"/>
  <c r="AG287" i="2"/>
  <c r="AD287" i="2"/>
  <c r="AE288" i="2"/>
  <c r="AD288" i="2"/>
  <c r="AF288" i="2"/>
  <c r="AG288" i="2"/>
  <c r="AE289" i="2"/>
  <c r="AF289" i="2"/>
  <c r="AG289" i="2"/>
  <c r="AD289" i="2"/>
  <c r="AD290" i="2"/>
  <c r="AE290" i="2"/>
  <c r="AF290" i="2"/>
  <c r="AG290" i="2"/>
  <c r="AD291" i="2"/>
  <c r="AE291" i="2"/>
  <c r="AF291" i="2"/>
  <c r="AG291" i="2"/>
  <c r="AD292" i="2"/>
  <c r="AE292" i="2"/>
  <c r="AF292" i="2"/>
  <c r="AG292" i="2"/>
  <c r="AE293" i="2"/>
  <c r="AF293" i="2"/>
  <c r="AF294" i="2"/>
  <c r="BA24" i="2"/>
  <c r="AD293" i="2"/>
  <c r="AE294" i="2"/>
  <c r="AW24" i="2"/>
  <c r="AG293" i="2"/>
  <c r="AD297" i="2"/>
  <c r="AE297" i="2"/>
  <c r="AF297" i="2"/>
  <c r="AG297" i="2"/>
  <c r="AE298" i="2"/>
  <c r="AF298" i="2"/>
  <c r="AD298" i="2"/>
  <c r="AG298" i="2"/>
  <c r="AE299" i="2"/>
  <c r="AD299" i="2"/>
  <c r="AF299" i="2"/>
  <c r="AG299" i="2"/>
  <c r="AD300" i="2"/>
  <c r="AE300" i="2"/>
  <c r="AF300" i="2"/>
  <c r="AG300" i="2"/>
  <c r="AD301" i="2"/>
  <c r="AE301" i="2"/>
  <c r="AF301" i="2"/>
  <c r="AG301" i="2"/>
  <c r="AD302" i="2"/>
  <c r="AE302" i="2"/>
  <c r="AF302" i="2"/>
  <c r="AG302" i="2"/>
  <c r="AD303" i="2"/>
  <c r="AE303" i="2"/>
  <c r="AF303" i="2"/>
  <c r="AG303" i="2"/>
  <c r="AD304" i="2"/>
  <c r="AE304" i="2"/>
  <c r="AF304" i="2"/>
  <c r="AG304" i="2"/>
  <c r="AD305" i="2"/>
  <c r="AE305" i="2"/>
  <c r="AF305" i="2"/>
  <c r="AG305" i="2"/>
  <c r="AD306" i="2"/>
  <c r="AE306" i="2"/>
  <c r="AF306" i="2"/>
  <c r="AG306" i="2"/>
  <c r="AE307" i="2"/>
  <c r="AF307" i="2"/>
  <c r="AG307" i="2"/>
  <c r="AD307" i="2"/>
  <c r="AE308" i="2"/>
  <c r="AE309" i="2"/>
  <c r="AW25" i="2"/>
  <c r="AD308" i="2"/>
  <c r="AF308" i="2"/>
  <c r="AF309" i="2"/>
  <c r="BA25" i="2"/>
  <c r="AG308" i="2"/>
  <c r="AD312" i="2"/>
  <c r="AE312" i="2"/>
  <c r="AF312" i="2"/>
  <c r="AG312" i="2"/>
  <c r="AD313" i="2"/>
  <c r="AE313" i="2"/>
  <c r="AF313" i="2"/>
  <c r="AG313" i="2"/>
  <c r="AD314" i="2"/>
  <c r="AE314" i="2"/>
  <c r="AF314" i="2"/>
  <c r="AG314" i="2"/>
  <c r="AE315" i="2"/>
  <c r="AF315" i="2"/>
  <c r="AG315" i="2"/>
  <c r="AD315" i="2"/>
  <c r="AD316" i="2"/>
  <c r="AE316" i="2"/>
  <c r="AF316" i="2"/>
  <c r="AG316" i="2"/>
  <c r="AD317" i="2"/>
  <c r="AE317" i="2"/>
  <c r="AF317" i="2"/>
  <c r="AG317" i="2"/>
  <c r="AD318" i="2"/>
  <c r="AE318" i="2"/>
  <c r="AF318" i="2"/>
  <c r="AG318" i="2"/>
  <c r="AD319" i="2"/>
  <c r="AE319" i="2"/>
  <c r="AF319" i="2"/>
  <c r="AG319" i="2"/>
  <c r="AD320" i="2"/>
  <c r="AE320" i="2"/>
  <c r="AF320" i="2"/>
  <c r="AG320" i="2"/>
  <c r="AD321" i="2"/>
  <c r="AE321" i="2"/>
  <c r="AF321" i="2"/>
  <c r="AG321" i="2"/>
  <c r="AD322" i="2"/>
  <c r="AE322" i="2"/>
  <c r="AF322" i="2"/>
  <c r="AG322" i="2"/>
  <c r="AD323" i="2"/>
  <c r="AE323" i="2"/>
  <c r="AE324" i="2"/>
  <c r="AW26" i="2"/>
  <c r="AF323" i="2"/>
  <c r="AF324" i="2"/>
  <c r="BA26" i="2"/>
  <c r="AG323" i="2"/>
  <c r="AE327" i="2"/>
  <c r="AF327" i="2"/>
  <c r="AD327" i="2"/>
  <c r="AG327" i="2"/>
  <c r="AD328" i="2"/>
  <c r="AE328" i="2"/>
  <c r="AF328" i="2"/>
  <c r="AG328" i="2"/>
  <c r="AD329" i="2"/>
  <c r="AE329" i="2"/>
  <c r="AF329" i="2"/>
  <c r="AG329" i="2"/>
  <c r="AE330" i="2"/>
  <c r="AF330" i="2"/>
  <c r="AD330" i="2"/>
  <c r="AG330" i="2"/>
  <c r="AD331" i="2"/>
  <c r="AE331" i="2"/>
  <c r="AF331" i="2"/>
  <c r="AG331" i="2"/>
  <c r="AD332" i="2"/>
  <c r="AE332" i="2"/>
  <c r="AF332" i="2"/>
  <c r="AG332" i="2"/>
  <c r="AD333" i="2"/>
  <c r="AE333" i="2"/>
  <c r="AF333" i="2"/>
  <c r="AG333" i="2"/>
  <c r="AE334" i="2"/>
  <c r="AF334" i="2"/>
  <c r="AG334" i="2"/>
  <c r="AD334" i="2"/>
  <c r="AD335" i="2"/>
  <c r="AE335" i="2"/>
  <c r="AF335" i="2"/>
  <c r="AG335" i="2"/>
  <c r="AD336" i="2"/>
  <c r="AE336" i="2"/>
  <c r="AF336" i="2"/>
  <c r="AG336" i="2"/>
  <c r="AE337" i="2"/>
  <c r="AF337" i="2"/>
  <c r="AG337" i="2"/>
  <c r="AD337" i="2"/>
  <c r="AD338" i="2"/>
  <c r="AE338" i="2"/>
  <c r="AE339" i="2"/>
  <c r="AW27" i="2"/>
  <c r="AF338" i="2"/>
  <c r="AF339" i="2"/>
  <c r="BA27" i="2"/>
  <c r="AG338" i="2"/>
  <c r="AD342" i="2"/>
  <c r="AE342" i="2"/>
  <c r="AF342" i="2"/>
  <c r="AG342" i="2"/>
  <c r="AE343" i="2"/>
  <c r="AF343" i="2"/>
  <c r="AD343" i="2"/>
  <c r="AG343" i="2"/>
  <c r="AE344" i="2"/>
  <c r="AF344" i="2"/>
  <c r="AD344" i="2"/>
  <c r="AG344" i="2"/>
  <c r="AE345" i="2"/>
  <c r="AD345" i="2"/>
  <c r="AF345" i="2"/>
  <c r="AG345" i="2"/>
  <c r="AE346" i="2"/>
  <c r="AF346" i="2"/>
  <c r="AG346" i="2"/>
  <c r="AD346" i="2"/>
  <c r="AE347" i="2"/>
  <c r="AF347" i="2"/>
  <c r="AG347" i="2"/>
  <c r="AD347" i="2"/>
  <c r="AD348" i="2"/>
  <c r="AE348" i="2"/>
  <c r="AF348" i="2"/>
  <c r="AG348" i="2"/>
  <c r="AD349" i="2"/>
  <c r="AE349" i="2"/>
  <c r="AF349" i="2"/>
  <c r="AG349" i="2"/>
  <c r="AD350" i="2"/>
  <c r="AE350" i="2"/>
  <c r="AF350" i="2"/>
  <c r="AG350" i="2"/>
  <c r="AE351" i="2"/>
  <c r="AF351" i="2"/>
  <c r="AG351" i="2"/>
  <c r="AD351" i="2"/>
  <c r="AD352" i="2"/>
  <c r="AE352" i="2"/>
  <c r="AF352" i="2"/>
  <c r="AG352" i="2"/>
  <c r="AD353" i="2"/>
  <c r="AE353" i="2"/>
  <c r="AE354" i="2"/>
  <c r="AW28" i="2"/>
  <c r="AF353" i="2"/>
  <c r="AF354" i="2"/>
  <c r="BA28" i="2"/>
  <c r="AG353" i="2"/>
  <c r="AE357" i="2"/>
  <c r="AD357" i="2"/>
  <c r="AF357" i="2"/>
  <c r="AG357" i="2"/>
  <c r="AD358" i="2"/>
  <c r="AE358" i="2"/>
  <c r="AF358" i="2"/>
  <c r="AG358" i="2"/>
  <c r="AD359" i="2"/>
  <c r="AE359" i="2"/>
  <c r="AF359" i="2"/>
  <c r="AG359" i="2"/>
  <c r="AD360" i="2"/>
  <c r="AE360" i="2"/>
  <c r="AF360" i="2"/>
  <c r="AG360" i="2"/>
  <c r="AD361" i="2"/>
  <c r="AE361" i="2"/>
  <c r="AF361" i="2"/>
  <c r="AG361" i="2"/>
  <c r="AD362" i="2"/>
  <c r="AE362" i="2"/>
  <c r="AF362" i="2"/>
  <c r="AG362" i="2"/>
  <c r="AD363" i="2"/>
  <c r="AE363" i="2"/>
  <c r="AF363" i="2"/>
  <c r="AG363" i="2"/>
  <c r="AD364" i="2"/>
  <c r="AE364" i="2"/>
  <c r="AF364" i="2"/>
  <c r="AG364" i="2"/>
  <c r="AE365" i="2"/>
  <c r="AF365" i="2"/>
  <c r="AG365" i="2"/>
  <c r="AD365" i="2"/>
  <c r="AD366" i="2"/>
  <c r="AE366" i="2"/>
  <c r="AF366" i="2"/>
  <c r="AG366" i="2"/>
  <c r="AE367" i="2"/>
  <c r="AF367" i="2"/>
  <c r="AG367" i="2"/>
  <c r="AD367" i="2"/>
  <c r="AD368" i="2"/>
  <c r="AE368" i="2"/>
  <c r="AE369" i="2"/>
  <c r="AW29" i="2"/>
  <c r="AF368" i="2"/>
  <c r="AF369" i="2"/>
  <c r="BA29" i="2"/>
  <c r="AG368" i="2"/>
  <c r="AE372" i="2"/>
  <c r="AD372" i="2"/>
  <c r="AF372" i="2"/>
  <c r="AG372" i="2"/>
  <c r="AE373" i="2"/>
  <c r="AF373" i="2"/>
  <c r="AG373" i="2"/>
  <c r="AD373" i="2"/>
  <c r="AE374" i="2"/>
  <c r="AF374" i="2"/>
  <c r="AG374" i="2"/>
  <c r="AD374" i="2"/>
  <c r="AD375" i="2"/>
  <c r="AE375" i="2"/>
  <c r="AF375" i="2"/>
  <c r="AG375" i="2"/>
  <c r="AD376" i="2"/>
  <c r="AE376" i="2"/>
  <c r="AF376" i="2"/>
  <c r="AG376" i="2"/>
  <c r="AD377" i="2"/>
  <c r="AE377" i="2"/>
  <c r="AF377" i="2"/>
  <c r="AG377" i="2"/>
  <c r="AE378" i="2"/>
  <c r="AD378" i="2"/>
  <c r="AF378" i="2"/>
  <c r="AG378" i="2"/>
  <c r="AE379" i="2"/>
  <c r="AF379" i="2"/>
  <c r="AG379" i="2"/>
  <c r="AD379" i="2"/>
  <c r="AE380" i="2"/>
  <c r="AF380" i="2"/>
  <c r="AG380" i="2"/>
  <c r="AD380" i="2"/>
  <c r="AD381" i="2"/>
  <c r="AE381" i="2"/>
  <c r="AF381" i="2"/>
  <c r="AG381" i="2"/>
  <c r="AE382" i="2"/>
  <c r="AF382" i="2"/>
  <c r="AG382" i="2"/>
  <c r="AD382" i="2"/>
  <c r="AE383" i="2"/>
  <c r="AE384" i="2"/>
  <c r="AW30" i="2"/>
  <c r="AF383" i="2"/>
  <c r="AF384" i="2"/>
  <c r="BA30" i="2"/>
  <c r="AG383" i="2"/>
  <c r="AD383" i="2"/>
  <c r="AE387" i="2"/>
  <c r="AF387" i="2"/>
  <c r="AG387" i="2"/>
  <c r="AD387" i="2"/>
  <c r="AE388" i="2"/>
  <c r="AF388" i="2"/>
  <c r="AD388" i="2"/>
  <c r="AG388" i="2"/>
  <c r="AE389" i="2"/>
  <c r="AF389" i="2"/>
  <c r="AD389" i="2"/>
  <c r="AG389" i="2"/>
  <c r="AD390" i="2"/>
  <c r="AE390" i="2"/>
  <c r="AF390" i="2"/>
  <c r="AG390" i="2"/>
  <c r="AE391" i="2"/>
  <c r="AF391" i="2"/>
  <c r="AG391" i="2"/>
  <c r="AD391" i="2"/>
  <c r="AD392" i="2"/>
  <c r="AE392" i="2"/>
  <c r="AF392" i="2"/>
  <c r="AG392" i="2"/>
  <c r="AD393" i="2"/>
  <c r="AE393" i="2"/>
  <c r="AF393" i="2"/>
  <c r="AG393" i="2"/>
  <c r="AD394" i="2"/>
  <c r="AE394" i="2"/>
  <c r="AF394" i="2"/>
  <c r="AG394" i="2"/>
  <c r="AD395" i="2"/>
  <c r="AE395" i="2"/>
  <c r="AF395" i="2"/>
  <c r="AG395" i="2"/>
  <c r="AE396" i="2"/>
  <c r="AF396" i="2"/>
  <c r="AG396" i="2"/>
  <c r="AD396" i="2"/>
  <c r="AD397" i="2"/>
  <c r="AE397" i="2"/>
  <c r="AF397" i="2"/>
  <c r="AG397" i="2"/>
  <c r="AD398" i="2"/>
  <c r="AE398" i="2"/>
  <c r="AE399" i="2"/>
  <c r="AW31" i="2"/>
  <c r="AF398" i="2"/>
  <c r="AF399" i="2"/>
  <c r="BA31" i="2"/>
  <c r="AG398" i="2"/>
  <c r="AD402" i="2"/>
  <c r="AE402" i="2"/>
  <c r="AF402" i="2"/>
  <c r="AG402" i="2"/>
  <c r="AD403" i="2"/>
  <c r="AE403" i="2"/>
  <c r="AF403" i="2"/>
  <c r="AG403" i="2"/>
  <c r="AD404" i="2"/>
  <c r="AE404" i="2"/>
  <c r="AF404" i="2"/>
  <c r="AG404" i="2"/>
  <c r="AE405" i="2"/>
  <c r="AD405" i="2"/>
  <c r="AF405" i="2"/>
  <c r="AG405" i="2"/>
  <c r="AD406" i="2"/>
  <c r="AE406" i="2"/>
  <c r="AF406" i="2"/>
  <c r="AG406" i="2"/>
  <c r="AE407" i="2"/>
  <c r="AD407" i="2"/>
  <c r="AF407" i="2"/>
  <c r="AG407" i="2"/>
  <c r="AD408" i="2"/>
  <c r="AE408" i="2"/>
  <c r="AF408" i="2"/>
  <c r="AG408" i="2"/>
  <c r="AD409" i="2"/>
  <c r="AE409" i="2"/>
  <c r="AF409" i="2"/>
  <c r="AG409" i="2"/>
  <c r="AD410" i="2"/>
  <c r="AE410" i="2"/>
  <c r="AF410" i="2"/>
  <c r="AG410" i="2"/>
  <c r="AE411" i="2"/>
  <c r="AF411" i="2"/>
  <c r="AG411" i="2"/>
  <c r="AD411" i="2"/>
  <c r="AD412" i="2"/>
  <c r="AE412" i="2"/>
  <c r="AF412" i="2"/>
  <c r="AG412" i="2"/>
  <c r="AE413" i="2"/>
  <c r="AE414" i="2"/>
  <c r="AW32" i="2"/>
  <c r="AF413" i="2"/>
  <c r="AF414" i="2"/>
  <c r="BA32" i="2"/>
  <c r="AD413" i="2"/>
  <c r="AG413" i="2"/>
  <c r="AD417" i="2"/>
  <c r="AE417" i="2"/>
  <c r="AF417" i="2"/>
  <c r="AG417" i="2"/>
  <c r="AE418" i="2"/>
  <c r="AD418" i="2"/>
  <c r="AF418" i="2"/>
  <c r="AG418" i="2"/>
  <c r="AD419" i="2"/>
  <c r="AE419" i="2"/>
  <c r="AF419" i="2"/>
  <c r="AG419" i="2"/>
  <c r="AD420" i="2"/>
  <c r="AE420" i="2"/>
  <c r="AF420" i="2"/>
  <c r="AG420" i="2"/>
  <c r="AE421" i="2"/>
  <c r="AF421" i="2"/>
  <c r="AG421" i="2"/>
  <c r="AD421" i="2"/>
  <c r="AD422" i="2"/>
  <c r="AE422" i="2"/>
  <c r="AF422" i="2"/>
  <c r="AG422" i="2"/>
  <c r="AD423" i="2"/>
  <c r="AE423" i="2"/>
  <c r="AF423" i="2"/>
  <c r="AG423" i="2"/>
  <c r="AD424" i="2"/>
  <c r="AE424" i="2"/>
  <c r="AF424" i="2"/>
  <c r="AG424" i="2"/>
  <c r="AE425" i="2"/>
  <c r="AF425" i="2"/>
  <c r="AG425" i="2"/>
  <c r="AD425" i="2"/>
  <c r="AD426" i="2"/>
  <c r="AE426" i="2"/>
  <c r="AF426" i="2"/>
  <c r="AG426" i="2"/>
  <c r="AD427" i="2"/>
  <c r="AE427" i="2"/>
  <c r="AF427" i="2"/>
  <c r="AG427" i="2"/>
  <c r="AD428" i="2"/>
  <c r="AE428" i="2"/>
  <c r="AE429" i="2"/>
  <c r="AW33" i="2"/>
  <c r="AF428" i="2"/>
  <c r="AF429" i="2"/>
  <c r="BA33" i="2"/>
  <c r="AG428" i="2"/>
  <c r="AE432" i="2"/>
  <c r="AF432" i="2"/>
  <c r="AD432" i="2"/>
  <c r="AG432" i="2"/>
  <c r="AD433" i="2"/>
  <c r="AE433" i="2"/>
  <c r="AF433" i="2"/>
  <c r="AG433" i="2"/>
  <c r="AD434" i="2"/>
  <c r="AE434" i="2"/>
  <c r="AF434" i="2"/>
  <c r="AG434" i="2"/>
  <c r="AD435" i="2"/>
  <c r="AE435" i="2"/>
  <c r="AF435" i="2"/>
  <c r="AG435" i="2"/>
  <c r="AD436" i="2"/>
  <c r="AE436" i="2"/>
  <c r="AF436" i="2"/>
  <c r="AG436" i="2"/>
  <c r="AD437" i="2"/>
  <c r="AE437" i="2"/>
  <c r="AF437" i="2"/>
  <c r="AG437" i="2"/>
  <c r="AD438" i="2"/>
  <c r="AE438" i="2"/>
  <c r="AF438" i="2"/>
  <c r="AG438" i="2"/>
  <c r="AD439" i="2"/>
  <c r="AE439" i="2"/>
  <c r="AF439" i="2"/>
  <c r="AG439" i="2"/>
  <c r="AE440" i="2"/>
  <c r="AF440" i="2"/>
  <c r="AG440" i="2"/>
  <c r="AD440" i="2"/>
  <c r="AD441" i="2"/>
  <c r="AE441" i="2"/>
  <c r="AF441" i="2"/>
  <c r="AG441" i="2"/>
  <c r="AD442" i="2"/>
  <c r="AE442" i="2"/>
  <c r="AF442" i="2"/>
  <c r="AG442" i="2"/>
  <c r="AD443" i="2"/>
  <c r="AE443" i="2"/>
  <c r="AE444" i="2"/>
  <c r="AW34" i="2"/>
  <c r="AF443" i="2"/>
  <c r="AF444" i="2"/>
  <c r="BA34" i="2"/>
  <c r="AG443" i="2"/>
  <c r="AE447" i="2"/>
  <c r="AD447" i="2"/>
  <c r="AF447" i="2"/>
  <c r="AG447" i="2"/>
  <c r="AE448" i="2"/>
  <c r="AF448" i="2"/>
  <c r="AG448" i="2"/>
  <c r="AD448" i="2"/>
  <c r="AE449" i="2"/>
  <c r="AF449" i="2"/>
  <c r="AD449" i="2"/>
  <c r="AG449" i="2"/>
  <c r="AD450" i="2"/>
  <c r="AE450" i="2"/>
  <c r="AF450" i="2"/>
  <c r="AG450" i="2"/>
  <c r="AD451" i="2"/>
  <c r="AE451" i="2"/>
  <c r="AF451" i="2"/>
  <c r="AG451" i="2"/>
  <c r="AE452" i="2"/>
  <c r="AF452" i="2"/>
  <c r="AG452" i="2"/>
  <c r="AD452" i="2"/>
  <c r="AD453" i="2"/>
  <c r="AE453" i="2"/>
  <c r="AF453" i="2"/>
  <c r="AG453" i="2"/>
  <c r="AD454" i="2"/>
  <c r="AE454" i="2"/>
  <c r="AF454" i="2"/>
  <c r="AG454" i="2"/>
  <c r="AD455" i="2"/>
  <c r="AE455" i="2"/>
  <c r="AF455" i="2"/>
  <c r="AG455" i="2"/>
  <c r="AD456" i="2"/>
  <c r="AE456" i="2"/>
  <c r="AF456" i="2"/>
  <c r="AG456" i="2"/>
  <c r="AE457" i="2"/>
  <c r="AF457" i="2"/>
  <c r="AG457" i="2"/>
  <c r="AD457" i="2"/>
  <c r="AE458" i="2"/>
  <c r="AE459" i="2"/>
  <c r="AW35" i="2"/>
  <c r="AD458" i="2"/>
  <c r="AF458" i="2"/>
  <c r="AF459" i="2"/>
  <c r="BA35" i="2"/>
  <c r="AG458" i="2"/>
  <c r="AE462" i="2"/>
  <c r="AD462" i="2"/>
  <c r="AF462" i="2"/>
  <c r="AG462" i="2"/>
  <c r="AE463" i="2"/>
  <c r="AD463" i="2"/>
  <c r="AF463" i="2"/>
  <c r="AG463" i="2"/>
  <c r="AD464" i="2"/>
  <c r="AE464" i="2"/>
  <c r="AF464" i="2"/>
  <c r="AG464" i="2"/>
  <c r="AD465" i="2"/>
  <c r="AE465" i="2"/>
  <c r="AF465" i="2"/>
  <c r="AG465" i="2"/>
  <c r="AE466" i="2"/>
  <c r="AD466" i="2"/>
  <c r="AF466" i="2"/>
  <c r="AG466" i="2"/>
  <c r="AD467" i="2"/>
  <c r="AE467" i="2"/>
  <c r="AF467" i="2"/>
  <c r="AG467" i="2"/>
  <c r="AD468" i="2"/>
  <c r="AE468" i="2"/>
  <c r="AF468" i="2"/>
  <c r="AG468" i="2"/>
  <c r="AD469" i="2"/>
  <c r="AE469" i="2"/>
  <c r="AF469" i="2"/>
  <c r="AG469" i="2"/>
  <c r="AD470" i="2"/>
  <c r="AE470" i="2"/>
  <c r="AF470" i="2"/>
  <c r="AG470" i="2"/>
  <c r="AE471" i="2"/>
  <c r="AF471" i="2"/>
  <c r="AD471" i="2"/>
  <c r="AG471" i="2"/>
  <c r="AE472" i="2"/>
  <c r="AF472" i="2"/>
  <c r="AG472" i="2"/>
  <c r="AD472" i="2"/>
  <c r="AD473" i="2"/>
  <c r="AE473" i="2"/>
  <c r="AE474" i="2"/>
  <c r="AW36" i="2"/>
  <c r="AF473" i="2"/>
  <c r="AF474" i="2"/>
  <c r="BA36" i="2"/>
  <c r="AG473" i="2"/>
  <c r="I93" i="1" l="1"/>
  <c r="G32" i="1"/>
  <c r="G35" i="1" s="1"/>
  <c r="J183" i="1"/>
  <c r="I193" i="1" s="1"/>
  <c r="K8" i="1"/>
  <c r="G39" i="1"/>
  <c r="G37" i="1"/>
  <c r="X13" i="2"/>
  <c r="X149" i="2"/>
  <c r="X133" i="2"/>
  <c r="X17" i="2"/>
  <c r="X472" i="2"/>
  <c r="X457" i="2"/>
  <c r="X436" i="2"/>
  <c r="X409" i="2"/>
  <c r="X391" i="2"/>
  <c r="X366" i="2"/>
  <c r="X351" i="2"/>
  <c r="X363" i="2"/>
  <c r="X443" i="2"/>
  <c r="X388" i="2"/>
  <c r="X338" i="2"/>
  <c r="X274" i="2"/>
  <c r="X271" i="2"/>
  <c r="X380" i="2"/>
  <c r="X287" i="2"/>
  <c r="X272" i="2"/>
  <c r="X327" i="2"/>
  <c r="X339" i="2" s="1"/>
  <c r="X245" i="2"/>
  <c r="X216" i="2"/>
  <c r="X270" i="2"/>
  <c r="X196" i="2"/>
  <c r="X207" i="2"/>
  <c r="X219" i="2" s="1"/>
  <c r="X261" i="2"/>
  <c r="X163" i="2"/>
  <c r="X103" i="2"/>
  <c r="X227" i="2"/>
  <c r="X74" i="2"/>
  <c r="X195" i="2"/>
  <c r="X173" i="2"/>
  <c r="X109" i="2"/>
  <c r="X141" i="2"/>
  <c r="X209" i="2"/>
  <c r="X98" i="2"/>
  <c r="X157" i="2"/>
  <c r="X67" i="2"/>
  <c r="X147" i="2"/>
  <c r="X159" i="2" s="1"/>
  <c r="X210" i="2"/>
  <c r="X15" i="2"/>
  <c r="X42" i="2"/>
  <c r="X54" i="2" s="1"/>
  <c r="X78" i="2"/>
  <c r="X283" i="2"/>
  <c r="X21" i="2"/>
  <c r="X438" i="2"/>
  <c r="X469" i="2"/>
  <c r="X440" i="2"/>
  <c r="X426" i="2"/>
  <c r="X435" i="2"/>
  <c r="X335" i="2"/>
  <c r="X411" i="2"/>
  <c r="X404" i="2"/>
  <c r="X333" i="2"/>
  <c r="X373" i="2"/>
  <c r="X332" i="2"/>
  <c r="X300" i="2"/>
  <c r="X302" i="2"/>
  <c r="X322" i="2"/>
  <c r="X318" i="2"/>
  <c r="X288" i="2"/>
  <c r="X297" i="2"/>
  <c r="X309" i="2" s="1"/>
  <c r="X214" i="2"/>
  <c r="X277" i="2"/>
  <c r="X278" i="2"/>
  <c r="X276" i="2"/>
  <c r="X239" i="2"/>
  <c r="X198" i="2"/>
  <c r="X202" i="2"/>
  <c r="X137" i="2"/>
  <c r="X389" i="2"/>
  <c r="X142" i="2"/>
  <c r="X57" i="2"/>
  <c r="X69" i="2" s="1"/>
  <c r="X184" i="2"/>
  <c r="X135" i="2"/>
  <c r="X178" i="2"/>
  <c r="X105" i="2"/>
  <c r="X124" i="2"/>
  <c r="X200" i="2"/>
  <c r="X188" i="2"/>
  <c r="X140" i="2"/>
  <c r="X12" i="2"/>
  <c r="X24" i="2" s="1"/>
  <c r="X38" i="2"/>
  <c r="X62" i="2"/>
  <c r="X212" i="2"/>
  <c r="X18" i="2"/>
  <c r="X29" i="2"/>
  <c r="X49" i="2"/>
  <c r="X471" i="2"/>
  <c r="X421" i="2"/>
  <c r="X378" i="2"/>
  <c r="X334" i="2"/>
  <c r="X410" i="2"/>
  <c r="X301" i="2"/>
  <c r="X328" i="2"/>
  <c r="X298" i="2"/>
  <c r="X223" i="2"/>
  <c r="X228" i="2"/>
  <c r="X222" i="2"/>
  <c r="X234" i="2" s="1"/>
  <c r="X154" i="2"/>
  <c r="X151" i="2"/>
  <c r="X193" i="2"/>
  <c r="X75" i="2"/>
  <c r="X208" i="2"/>
  <c r="X155" i="2"/>
  <c r="X20" i="2"/>
  <c r="X97" i="2"/>
  <c r="X19" i="2"/>
  <c r="X59" i="2"/>
  <c r="X76" i="2"/>
  <c r="X52" i="2"/>
  <c r="X197" i="2"/>
  <c r="X35" i="2"/>
  <c r="X253" i="2"/>
  <c r="X243" i="2"/>
  <c r="X217" i="2"/>
  <c r="X241" i="2"/>
  <c r="X463" i="2"/>
  <c r="X418" i="2"/>
  <c r="X383" i="2"/>
  <c r="X365" i="2"/>
  <c r="X316" i="2"/>
  <c r="X291" i="2"/>
  <c r="X381" i="2"/>
  <c r="X362" i="2"/>
  <c r="X336" i="2"/>
  <c r="X233" i="2"/>
  <c r="X213" i="2"/>
  <c r="X305" i="2"/>
  <c r="X128" i="2"/>
  <c r="X82" i="2"/>
  <c r="X180" i="2"/>
  <c r="X167" i="2"/>
  <c r="X107" i="2"/>
  <c r="X148" i="2"/>
  <c r="X23" i="2"/>
  <c r="X93" i="2"/>
  <c r="X31" i="2"/>
  <c r="X61" i="2"/>
  <c r="X106" i="2"/>
  <c r="X34" i="2"/>
  <c r="X22" i="2"/>
  <c r="X110" i="2"/>
  <c r="X112" i="2"/>
  <c r="X158" i="2"/>
  <c r="X91" i="2"/>
  <c r="X247" i="2"/>
  <c r="X51" i="2"/>
  <c r="X433" i="2"/>
  <c r="X449" i="2"/>
  <c r="X397" i="2"/>
  <c r="X358" i="2"/>
  <c r="X337" i="2"/>
  <c r="X376" i="2"/>
  <c r="X315" i="2"/>
  <c r="X350" i="2"/>
  <c r="X437" i="2"/>
  <c r="X321" i="2"/>
  <c r="X179" i="2"/>
  <c r="X211" i="2"/>
  <c r="X60" i="2"/>
  <c r="X65" i="2"/>
  <c r="X143" i="2"/>
  <c r="X122" i="2"/>
  <c r="X244" i="2"/>
  <c r="X63" i="2"/>
  <c r="X36" i="2"/>
  <c r="X37" i="2"/>
  <c r="X72" i="2"/>
  <c r="X84" i="2" s="1"/>
  <c r="X284" i="2"/>
  <c r="X344" i="2"/>
  <c r="X268" i="2"/>
  <c r="X468" i="2"/>
  <c r="X254" i="2"/>
  <c r="X292" i="2"/>
  <c r="X232" i="2"/>
  <c r="X113" i="2"/>
  <c r="X192" i="2"/>
  <c r="X204" i="2" s="1"/>
  <c r="X451" i="2"/>
  <c r="X307" i="2"/>
  <c r="X439" i="2"/>
  <c r="X405" i="2"/>
  <c r="X168" i="2"/>
  <c r="X164" i="2"/>
  <c r="X260" i="2"/>
  <c r="X215" i="2"/>
  <c r="X118" i="2"/>
  <c r="X218" i="2"/>
  <c r="X312" i="2"/>
  <c r="X324" i="2" s="1"/>
  <c r="X407" i="2"/>
  <c r="X452" i="2"/>
  <c r="X125" i="2"/>
  <c r="X286" i="2"/>
  <c r="X156" i="2"/>
  <c r="X77" i="2"/>
  <c r="X422" i="2"/>
  <c r="X360" i="2"/>
  <c r="X111" i="2"/>
  <c r="X423" i="2"/>
  <c r="X182" i="2"/>
  <c r="X80" i="2"/>
  <c r="X45" i="2"/>
  <c r="X73" i="2"/>
  <c r="X68" i="2"/>
  <c r="X242" i="2"/>
  <c r="X396" i="2"/>
  <c r="X390" i="2"/>
  <c r="X406" i="2"/>
  <c r="X447" i="2"/>
  <c r="X459" i="2" s="1"/>
  <c r="X53" i="2"/>
  <c r="X252" i="2"/>
  <c r="X264" i="2" s="1"/>
  <c r="X238" i="2"/>
  <c r="X331" i="2"/>
  <c r="X314" i="2"/>
  <c r="X352" i="2"/>
  <c r="X458" i="2"/>
  <c r="X464" i="2"/>
  <c r="X317" i="2"/>
  <c r="X382" i="2"/>
  <c r="X255" i="2"/>
  <c r="X108" i="2"/>
  <c r="X170" i="2"/>
  <c r="X87" i="2"/>
  <c r="X99" i="2" s="1"/>
  <c r="X28" i="2"/>
  <c r="X102" i="2"/>
  <c r="X114" i="2" s="1"/>
  <c r="X441" i="2"/>
  <c r="X432" i="2"/>
  <c r="X444" i="2" s="1"/>
  <c r="X387" i="2"/>
  <c r="X399" i="2" s="1"/>
  <c r="X308" i="2"/>
  <c r="X330" i="2"/>
  <c r="X303" i="2"/>
  <c r="X225" i="2"/>
  <c r="X329" i="2"/>
  <c r="X126" i="2"/>
  <c r="X199" i="2"/>
  <c r="X30" i="2"/>
  <c r="X138" i="2"/>
  <c r="X121" i="2"/>
  <c r="X462" i="2"/>
  <c r="X474" i="2" s="1"/>
  <c r="X361" i="2"/>
  <c r="X342" i="2"/>
  <c r="X354" i="2" s="1"/>
  <c r="X394" i="2"/>
  <c r="X353" i="2"/>
  <c r="X231" i="2"/>
  <c r="X171" i="2"/>
  <c r="X27" i="2"/>
  <c r="X39" i="2" s="1"/>
  <c r="X246" i="2"/>
  <c r="X290" i="2"/>
  <c r="X408" i="2"/>
  <c r="X96" i="2"/>
  <c r="X194" i="2"/>
  <c r="X448" i="2"/>
  <c r="X201" i="2"/>
  <c r="X269" i="2"/>
  <c r="X456" i="2"/>
  <c r="X169" i="2"/>
  <c r="X313" i="2"/>
  <c r="X398" i="2"/>
  <c r="X450" i="2"/>
  <c r="X372" i="2"/>
  <c r="X384" i="2" s="1"/>
  <c r="X230" i="2"/>
  <c r="X16" i="2"/>
  <c r="X32" i="2"/>
  <c r="X359" i="2"/>
  <c r="X237" i="2"/>
  <c r="X249" i="2" s="1"/>
  <c r="X120" i="2"/>
  <c r="X263" i="2"/>
  <c r="X46" i="2"/>
  <c r="X289" i="2"/>
  <c r="X104" i="2"/>
  <c r="X88" i="2"/>
  <c r="X58" i="2"/>
  <c r="X172" i="2"/>
  <c r="X304" i="2"/>
  <c r="X428" i="2"/>
  <c r="X346" i="2"/>
  <c r="X442" i="2"/>
  <c r="X183" i="2"/>
  <c r="X95" i="2"/>
  <c r="X79" i="2"/>
  <c r="X282" i="2"/>
  <c r="X294" i="2" s="1"/>
  <c r="X177" i="2"/>
  <c r="X189" i="2" s="1"/>
  <c r="X259" i="2"/>
  <c r="X320" i="2"/>
  <c r="X395" i="2"/>
  <c r="X392" i="2"/>
  <c r="X136" i="2"/>
  <c r="X412" i="2"/>
  <c r="X364" i="2"/>
  <c r="X319" i="2"/>
  <c r="X258" i="2"/>
  <c r="X186" i="2"/>
  <c r="X165" i="2"/>
  <c r="X33" i="2"/>
  <c r="X119" i="2"/>
  <c r="X466" i="2"/>
  <c r="X64" i="2"/>
  <c r="X473" i="2"/>
  <c r="X424" i="2"/>
  <c r="X375" i="2"/>
  <c r="X379" i="2"/>
  <c r="X345" i="2"/>
  <c r="X257" i="2"/>
  <c r="X229" i="2"/>
  <c r="X267" i="2"/>
  <c r="X279" i="2" s="1"/>
  <c r="X226" i="2"/>
  <c r="X203" i="2"/>
  <c r="X89" i="2"/>
  <c r="X256" i="2"/>
  <c r="X455" i="2"/>
  <c r="X434" i="2"/>
  <c r="X349" i="2"/>
  <c r="X425" i="2"/>
  <c r="X285" i="2"/>
  <c r="X402" i="2"/>
  <c r="X414" i="2" s="1"/>
  <c r="X92" i="2"/>
  <c r="X132" i="2"/>
  <c r="X144" i="2" s="1"/>
  <c r="X14" i="2"/>
  <c r="X166" i="2"/>
  <c r="X293" i="2"/>
  <c r="X273" i="2"/>
  <c r="X367" i="2"/>
  <c r="X454" i="2"/>
  <c r="Z207" i="2"/>
  <c r="W208" i="2" s="1"/>
  <c r="Z458" i="2"/>
  <c r="W462" i="2" s="1"/>
  <c r="Z468" i="2"/>
  <c r="W469" i="2" s="1"/>
  <c r="Z437" i="2"/>
  <c r="W438" i="2" s="1"/>
  <c r="Z424" i="2"/>
  <c r="W425" i="2" s="1"/>
  <c r="Z420" i="2"/>
  <c r="W421" i="2" s="1"/>
  <c r="Z439" i="2"/>
  <c r="W440" i="2" s="1"/>
  <c r="Z358" i="2"/>
  <c r="W359" i="2" s="1"/>
  <c r="Z380" i="2"/>
  <c r="W381" i="2" s="1"/>
  <c r="Z365" i="2"/>
  <c r="W366" i="2" s="1"/>
  <c r="Z393" i="2"/>
  <c r="W394" i="2" s="1"/>
  <c r="Z398" i="2"/>
  <c r="W402" i="2" s="1"/>
  <c r="Z336" i="2"/>
  <c r="W337" i="2" s="1"/>
  <c r="Z342" i="2"/>
  <c r="W343" i="2" s="1"/>
  <c r="Z291" i="2"/>
  <c r="W292" i="2" s="1"/>
  <c r="Z290" i="2"/>
  <c r="W291" i="2" s="1"/>
  <c r="Z297" i="2"/>
  <c r="W298" i="2" s="1"/>
  <c r="Z379" i="2"/>
  <c r="W380" i="2" s="1"/>
  <c r="Z451" i="2"/>
  <c r="W452" i="2" s="1"/>
  <c r="Z351" i="2"/>
  <c r="W352" i="2" s="1"/>
  <c r="Z408" i="2"/>
  <c r="W409" i="2" s="1"/>
  <c r="Z323" i="2"/>
  <c r="W327" i="2" s="1"/>
  <c r="Z237" i="2"/>
  <c r="W238" i="2" s="1"/>
  <c r="Z308" i="2"/>
  <c r="W312" i="2" s="1"/>
  <c r="Z242" i="2"/>
  <c r="W243" i="2" s="1"/>
  <c r="Z391" i="2"/>
  <c r="W392" i="2" s="1"/>
  <c r="Z239" i="2"/>
  <c r="W240" i="2" s="1"/>
  <c r="Z286" i="2"/>
  <c r="W287" i="2" s="1"/>
  <c r="Z243" i="2"/>
  <c r="W244" i="2" s="1"/>
  <c r="Z253" i="2"/>
  <c r="W254" i="2" s="1"/>
  <c r="Z227" i="2"/>
  <c r="W228" i="2" s="1"/>
  <c r="Z193" i="2"/>
  <c r="W194" i="2" s="1"/>
  <c r="Z244" i="2"/>
  <c r="W245" i="2" s="1"/>
  <c r="Z195" i="2"/>
  <c r="W196" i="2" s="1"/>
  <c r="Z352" i="2"/>
  <c r="W353" i="2" s="1"/>
  <c r="Z215" i="2"/>
  <c r="W216" i="2" s="1"/>
  <c r="Z182" i="2"/>
  <c r="W183" i="2" s="1"/>
  <c r="Z274" i="2"/>
  <c r="W275" i="2" s="1"/>
  <c r="Z35" i="2"/>
  <c r="W36" i="2" s="1"/>
  <c r="Z470" i="2"/>
  <c r="W471" i="2" s="1"/>
  <c r="Z462" i="2"/>
  <c r="W463" i="2" s="1"/>
  <c r="Z440" i="2"/>
  <c r="W441" i="2" s="1"/>
  <c r="Z448" i="2"/>
  <c r="W449" i="2" s="1"/>
  <c r="Z450" i="2"/>
  <c r="W451" i="2" s="1"/>
  <c r="Z383" i="2"/>
  <c r="W387" i="2" s="1"/>
  <c r="Z428" i="2"/>
  <c r="W432" i="2" s="1"/>
  <c r="Z363" i="2"/>
  <c r="W364" i="2" s="1"/>
  <c r="Z407" i="2"/>
  <c r="W408" i="2" s="1"/>
  <c r="Z314" i="2"/>
  <c r="W315" i="2" s="1"/>
  <c r="Z343" i="2"/>
  <c r="W344" i="2" s="1"/>
  <c r="Z422" i="2"/>
  <c r="W423" i="2" s="1"/>
  <c r="Z319" i="2"/>
  <c r="W320" i="2" s="1"/>
  <c r="Z299" i="2"/>
  <c r="W300" i="2" s="1"/>
  <c r="Z298" i="2"/>
  <c r="W299" i="2" s="1"/>
  <c r="Z268" i="2"/>
  <c r="W269" i="2" s="1"/>
  <c r="Z377" i="2"/>
  <c r="W378" i="2" s="1"/>
  <c r="Z413" i="2"/>
  <c r="W417" i="2" s="1"/>
  <c r="Z390" i="2"/>
  <c r="W391" i="2" s="1"/>
  <c r="Z387" i="2"/>
  <c r="W388" i="2" s="1"/>
  <c r="Z306" i="2"/>
  <c r="W307" i="2" s="1"/>
  <c r="Z368" i="2"/>
  <c r="W372" i="2" s="1"/>
  <c r="Z259" i="2"/>
  <c r="W260" i="2" s="1"/>
  <c r="Z216" i="2"/>
  <c r="W217" i="2" s="1"/>
  <c r="Z269" i="2"/>
  <c r="W270" i="2" s="1"/>
  <c r="Z230" i="2"/>
  <c r="W231" i="2" s="1"/>
  <c r="Z260" i="2"/>
  <c r="W261" i="2" s="1"/>
  <c r="Z226" i="2"/>
  <c r="W227" i="2" s="1"/>
  <c r="Z246" i="2"/>
  <c r="W247" i="2" s="1"/>
  <c r="Z201" i="2"/>
  <c r="W202" i="2" s="1"/>
  <c r="Z282" i="2"/>
  <c r="W283" i="2" s="1"/>
  <c r="Z203" i="2"/>
  <c r="W207" i="2" s="1"/>
  <c r="Z388" i="2"/>
  <c r="W389" i="2" s="1"/>
  <c r="Z287" i="2"/>
  <c r="W288" i="2" s="1"/>
  <c r="Z208" i="2"/>
  <c r="W209" i="2" s="1"/>
  <c r="Z303" i="2"/>
  <c r="W304" i="2" s="1"/>
  <c r="Z248" i="2"/>
  <c r="W252" i="2" s="1"/>
  <c r="Y72" i="1"/>
  <c r="AE72" i="1" s="1"/>
  <c r="G109" i="1"/>
  <c r="G111" i="1" s="1"/>
  <c r="K183" i="1" s="1"/>
  <c r="K25" i="1"/>
  <c r="J9" i="1"/>
  <c r="M9" i="1"/>
  <c r="I25" i="1"/>
  <c r="X65" i="1"/>
  <c r="Y85" i="1" s="1"/>
  <c r="AE85" i="1" s="1"/>
  <c r="K29" i="1"/>
  <c r="I21" i="1"/>
  <c r="J76" i="1" s="1"/>
  <c r="Z73" i="1"/>
  <c r="K12" i="1"/>
  <c r="N10" i="1"/>
  <c r="O10" i="1" s="1"/>
  <c r="P10" i="1" s="1"/>
  <c r="Q10" i="1" s="1"/>
  <c r="R10" i="1" s="1"/>
  <c r="S10" i="1" s="1"/>
  <c r="T10" i="1" s="1"/>
  <c r="G90" i="1"/>
  <c r="H79" i="1"/>
  <c r="H22" i="3"/>
  <c r="H13" i="3"/>
  <c r="H32" i="3"/>
  <c r="J423" i="2"/>
  <c r="J188" i="2"/>
  <c r="J439" i="2"/>
  <c r="J246" i="2"/>
  <c r="J50" i="2"/>
  <c r="J200" i="2"/>
  <c r="J74" i="2"/>
  <c r="J272" i="2"/>
  <c r="J31" i="2"/>
  <c r="J155" i="2"/>
  <c r="J212" i="2"/>
  <c r="J52" i="2"/>
  <c r="J302" i="2"/>
  <c r="J412" i="2"/>
  <c r="J173" i="2"/>
  <c r="J391" i="2"/>
  <c r="J185" i="2"/>
  <c r="J237" i="2"/>
  <c r="J23" i="2"/>
  <c r="J336" i="2"/>
  <c r="J289" i="2"/>
  <c r="J383" i="2"/>
  <c r="J209" i="2"/>
  <c r="J78" i="2"/>
  <c r="J394" i="2"/>
  <c r="J455" i="2"/>
  <c r="J267" i="2"/>
  <c r="J328" i="2"/>
  <c r="J80" i="2"/>
  <c r="J364" i="2"/>
  <c r="J290" i="2"/>
  <c r="J62" i="2"/>
  <c r="J471" i="2"/>
  <c r="J390" i="2"/>
  <c r="J398" i="2"/>
  <c r="J90" i="2"/>
  <c r="J193" i="2"/>
  <c r="J231" i="2"/>
  <c r="J217" i="2"/>
  <c r="J34" i="2"/>
  <c r="J405" i="2"/>
  <c r="J381" i="2"/>
  <c r="J332" i="2"/>
  <c r="J122" i="2"/>
  <c r="J166" i="2"/>
  <c r="J404" i="2"/>
  <c r="J45" i="2"/>
  <c r="J136" i="2"/>
  <c r="J301" i="2"/>
  <c r="J468" i="2"/>
  <c r="J171" i="2"/>
  <c r="J77" i="2"/>
  <c r="J352" i="2"/>
  <c r="M51" i="1"/>
  <c r="N51" i="1" s="1"/>
  <c r="O51" i="1" s="1"/>
  <c r="P51" i="1" s="1"/>
  <c r="Q51" i="1" s="1"/>
  <c r="R51" i="1" s="1"/>
  <c r="S51" i="1" s="1"/>
  <c r="T51" i="1" s="1"/>
  <c r="K57" i="1"/>
  <c r="I57" i="1"/>
  <c r="O48" i="1"/>
  <c r="K69" i="1"/>
  <c r="M69" i="1" s="1"/>
  <c r="N69" i="1" s="1"/>
  <c r="O69" i="1" s="1"/>
  <c r="P69" i="1" s="1"/>
  <c r="Q69" i="1" s="1"/>
  <c r="R69" i="1" s="1"/>
  <c r="S69" i="1" s="1"/>
  <c r="T69" i="1" s="1"/>
  <c r="J46" i="2"/>
  <c r="J135" i="2"/>
  <c r="J149" i="2"/>
  <c r="J440" i="2"/>
  <c r="J427" i="2"/>
  <c r="J252" i="2"/>
  <c r="J177" i="2"/>
  <c r="J334" i="2"/>
  <c r="J337" i="2"/>
  <c r="J402" i="2"/>
  <c r="J121" i="2"/>
  <c r="J233" i="2"/>
  <c r="J43" i="2"/>
  <c r="J181" i="2"/>
  <c r="J238" i="2"/>
  <c r="J63" i="2"/>
  <c r="J255" i="2"/>
  <c r="J20" i="2"/>
  <c r="J245" i="2"/>
  <c r="J456" i="2"/>
  <c r="J17" i="2"/>
  <c r="J293" i="2"/>
  <c r="J304" i="2"/>
  <c r="J226" i="2"/>
  <c r="J197" i="2"/>
  <c r="J117" i="2"/>
  <c r="J276" i="2"/>
  <c r="J467" i="2"/>
  <c r="J178" i="2"/>
  <c r="J350" i="2"/>
  <c r="J348" i="2"/>
  <c r="J153" i="2"/>
  <c r="J156" i="2"/>
  <c r="J270" i="2"/>
  <c r="J373" i="2"/>
  <c r="J275" i="2"/>
  <c r="J141" i="2"/>
  <c r="J297" i="2"/>
  <c r="J323" i="2"/>
  <c r="J73" i="2"/>
  <c r="J163" i="2"/>
  <c r="J218" i="2"/>
  <c r="J451" i="2"/>
  <c r="J428" i="2"/>
  <c r="J247" i="2"/>
  <c r="J125" i="2"/>
  <c r="J463" i="2"/>
  <c r="J112" i="2"/>
  <c r="J154" i="2"/>
  <c r="J47" i="2"/>
  <c r="J29" i="2"/>
  <c r="J16" i="2"/>
  <c r="J316" i="2"/>
  <c r="J464" i="2"/>
  <c r="J214" i="2"/>
  <c r="J454" i="2"/>
  <c r="J436" i="2"/>
  <c r="J170" i="2"/>
  <c r="J223" i="2"/>
  <c r="J227" i="2"/>
  <c r="J65" i="2"/>
  <c r="J254" i="2"/>
  <c r="J300" i="2"/>
  <c r="J59" i="2"/>
  <c r="J362" i="2"/>
  <c r="J180" i="2"/>
  <c r="J418" i="2"/>
  <c r="J201" i="2"/>
  <c r="J313" i="2"/>
  <c r="J365" i="2"/>
  <c r="J119" i="2"/>
  <c r="J435" i="2"/>
  <c r="J91" i="2"/>
  <c r="J53" i="2"/>
  <c r="J258" i="2"/>
  <c r="J346" i="2"/>
  <c r="J169" i="2"/>
  <c r="J32" i="2"/>
  <c r="J433" i="2"/>
  <c r="J113" i="2"/>
  <c r="J292" i="2"/>
  <c r="J48" i="2"/>
  <c r="J215" i="2"/>
  <c r="J261" i="2"/>
  <c r="J222" i="2"/>
  <c r="J347" i="2"/>
  <c r="J87" i="2"/>
  <c r="J211" i="2"/>
  <c r="J382" i="2"/>
  <c r="J257" i="2"/>
  <c r="J124" i="2"/>
  <c r="J107" i="2"/>
  <c r="J308" i="2"/>
  <c r="J21" i="2"/>
  <c r="J76" i="2"/>
  <c r="J458" i="2"/>
  <c r="J448" i="2"/>
  <c r="J372" i="2"/>
  <c r="J229" i="2"/>
  <c r="J317" i="2"/>
  <c r="J137" i="2"/>
  <c r="J331" i="2"/>
  <c r="J109" i="2"/>
  <c r="J306" i="2"/>
  <c r="J148" i="2"/>
  <c r="J318" i="2"/>
  <c r="J127" i="2"/>
  <c r="J253" i="2"/>
  <c r="J462" i="2"/>
  <c r="J98" i="2"/>
  <c r="J199" i="2"/>
  <c r="J349" i="2"/>
  <c r="J437" i="2"/>
  <c r="J58" i="2"/>
  <c r="J172" i="2"/>
  <c r="J36" i="2"/>
  <c r="J353" i="2"/>
  <c r="J322" i="2"/>
  <c r="J139" i="2"/>
  <c r="J335" i="2"/>
  <c r="J343" i="2"/>
  <c r="J83" i="2"/>
  <c r="J396" i="2"/>
  <c r="J286" i="2"/>
  <c r="J288" i="2"/>
  <c r="J432" i="2"/>
  <c r="J194" i="2"/>
  <c r="J51" i="2"/>
  <c r="J244" i="2"/>
  <c r="J96" i="2"/>
  <c r="J15" i="2"/>
  <c r="J187" i="2"/>
  <c r="J186" i="2"/>
  <c r="J12" i="2"/>
  <c r="I12" i="2" s="1"/>
  <c r="L12" i="2" s="1"/>
  <c r="J82" i="2"/>
  <c r="J92" i="2"/>
  <c r="J452" i="2"/>
  <c r="J472" i="2"/>
  <c r="J330" i="2"/>
  <c r="J105" i="2"/>
  <c r="J424" i="2"/>
  <c r="J298" i="2"/>
  <c r="J380" i="2"/>
  <c r="J239" i="2"/>
  <c r="J28" i="2"/>
  <c r="J342" i="2"/>
  <c r="J72" i="2"/>
  <c r="J111" i="2"/>
  <c r="J22" i="2"/>
  <c r="J151" i="2"/>
  <c r="J305" i="2"/>
  <c r="J283" i="2"/>
  <c r="J377" i="2"/>
  <c r="J360" i="2"/>
  <c r="J19" i="2"/>
  <c r="J366" i="2"/>
  <c r="J165" i="2"/>
  <c r="J132" i="2"/>
  <c r="J274" i="2"/>
  <c r="J66" i="2"/>
  <c r="J183" i="2"/>
  <c r="J320" i="2"/>
  <c r="J37" i="2"/>
  <c r="J33" i="2"/>
  <c r="J277" i="2"/>
  <c r="J299" i="2"/>
  <c r="J64" i="2"/>
  <c r="J42" i="2"/>
  <c r="J259" i="2"/>
  <c r="J207" i="2"/>
  <c r="J243" i="2"/>
  <c r="J314" i="2"/>
  <c r="J157" i="2"/>
  <c r="J361" i="2"/>
  <c r="J44" i="2"/>
  <c r="J133" i="2"/>
  <c r="J406" i="2"/>
  <c r="J195" i="2"/>
  <c r="J378" i="2"/>
  <c r="J61" i="2"/>
  <c r="J358" i="2"/>
  <c r="J260" i="2"/>
  <c r="J379" i="2"/>
  <c r="J57" i="2"/>
  <c r="J303" i="2"/>
  <c r="J147" i="2"/>
  <c r="J441" i="2"/>
  <c r="J182" i="2"/>
  <c r="J158" i="2"/>
  <c r="J13" i="2"/>
  <c r="J89" i="2"/>
  <c r="J271" i="2"/>
  <c r="J68" i="2"/>
  <c r="J338" i="2"/>
  <c r="J14" i="2"/>
  <c r="J319" i="2"/>
  <c r="J312" i="2"/>
  <c r="J184" i="2"/>
  <c r="J438" i="2"/>
  <c r="J106" i="2"/>
  <c r="J422" i="2"/>
  <c r="J230" i="2"/>
  <c r="J216" i="2"/>
  <c r="J198" i="2"/>
  <c r="J93" i="2"/>
  <c r="J457" i="2"/>
  <c r="J256" i="2"/>
  <c r="J315" i="2"/>
  <c r="J329" i="2"/>
  <c r="J196" i="2"/>
  <c r="J426" i="2"/>
  <c r="J273" i="2"/>
  <c r="J67" i="2"/>
  <c r="J263" i="2"/>
  <c r="J403" i="2"/>
  <c r="J392" i="2"/>
  <c r="J344" i="2"/>
  <c r="J327" i="2"/>
  <c r="J268" i="2"/>
  <c r="J95" i="2"/>
  <c r="J208" i="2"/>
  <c r="J282" i="2"/>
  <c r="J102" i="2"/>
  <c r="J387" i="2"/>
  <c r="J81" i="2"/>
  <c r="J411" i="2"/>
  <c r="J409" i="2"/>
  <c r="J213" i="2"/>
  <c r="J75" i="2"/>
  <c r="J192" i="2"/>
  <c r="J425" i="2"/>
  <c r="J79" i="2"/>
  <c r="J417" i="2"/>
  <c r="J152" i="2"/>
  <c r="J138" i="2"/>
  <c r="J367" i="2"/>
  <c r="J179" i="2"/>
  <c r="J108" i="2"/>
  <c r="J345" i="2"/>
  <c r="J210" i="2"/>
  <c r="J395" i="2"/>
  <c r="J420" i="2"/>
  <c r="J30" i="2"/>
  <c r="J407" i="2"/>
  <c r="J389" i="2"/>
  <c r="J410" i="2"/>
  <c r="J408" i="2"/>
  <c r="J453" i="2"/>
  <c r="J118" i="2"/>
  <c r="J164" i="2"/>
  <c r="J150" i="2"/>
  <c r="J442" i="2"/>
  <c r="J307" i="2"/>
  <c r="J126" i="2"/>
  <c r="J224" i="2"/>
  <c r="J94" i="2"/>
  <c r="J110" i="2"/>
  <c r="J388" i="2"/>
  <c r="J241" i="2"/>
  <c r="J466" i="2"/>
  <c r="J38" i="2"/>
  <c r="J363" i="2"/>
  <c r="J287" i="2"/>
  <c r="J228" i="2"/>
  <c r="J162" i="2"/>
  <c r="J123" i="2"/>
  <c r="J167" i="2"/>
  <c r="J285" i="2"/>
  <c r="J469" i="2"/>
  <c r="J262" i="2"/>
  <c r="J143" i="2"/>
  <c r="J240" i="2"/>
  <c r="J128" i="2"/>
  <c r="J49" i="2"/>
  <c r="J447" i="2"/>
  <c r="J465" i="2"/>
  <c r="J393" i="2"/>
  <c r="J269" i="2"/>
  <c r="J419" i="2"/>
  <c r="J35" i="2"/>
  <c r="J103" i="2"/>
  <c r="J60" i="2"/>
  <c r="J368" i="2"/>
  <c r="J88" i="2"/>
  <c r="J397" i="2"/>
  <c r="J97" i="2"/>
  <c r="J278" i="2"/>
  <c r="J333" i="2"/>
  <c r="J434" i="2"/>
  <c r="J357" i="2"/>
  <c r="J120" i="2"/>
  <c r="J374" i="2"/>
  <c r="J142" i="2"/>
  <c r="J168" i="2"/>
  <c r="J470" i="2"/>
  <c r="J321" i="2"/>
  <c r="J449" i="2"/>
  <c r="J443" i="2"/>
  <c r="J359" i="2"/>
  <c r="J18" i="2"/>
  <c r="J202" i="2"/>
  <c r="J140" i="2"/>
  <c r="J375" i="2"/>
  <c r="J421" i="2"/>
  <c r="J450" i="2"/>
  <c r="J203" i="2"/>
  <c r="J473" i="2"/>
  <c r="J413" i="2"/>
  <c r="J27" i="2"/>
  <c r="J134" i="2"/>
  <c r="F21" i="5"/>
  <c r="AK1" i="2"/>
  <c r="L13" i="1"/>
  <c r="M13" i="1"/>
  <c r="K28" i="1"/>
  <c r="I28" i="1"/>
  <c r="I29" i="1"/>
  <c r="M17" i="1"/>
  <c r="K30" i="1"/>
  <c r="J13" i="1"/>
  <c r="I27" i="1"/>
  <c r="K26" i="1"/>
  <c r="J11" i="1"/>
  <c r="I26" i="1"/>
  <c r="L11" i="1"/>
  <c r="R12" i="2"/>
  <c r="O15" i="1"/>
  <c r="N28" i="1"/>
  <c r="M28" i="1"/>
  <c r="N26" i="1"/>
  <c r="O11" i="1"/>
  <c r="M26" i="1"/>
  <c r="F12" i="2"/>
  <c r="D12" i="2"/>
  <c r="G119" i="1"/>
  <c r="Y76" i="1" l="1"/>
  <c r="AE76" i="1" s="1"/>
  <c r="Y74" i="1"/>
  <c r="AE74" i="1" s="1"/>
  <c r="Y79" i="1"/>
  <c r="J70" i="1"/>
  <c r="J69" i="1"/>
  <c r="H64" i="1"/>
  <c r="H70" i="1"/>
  <c r="H66" i="1"/>
  <c r="J73" i="1"/>
  <c r="M25" i="1"/>
  <c r="K93" i="1"/>
  <c r="M8" i="1"/>
  <c r="Z72" i="1"/>
  <c r="I111" i="1"/>
  <c r="K111" i="1" s="1"/>
  <c r="M111" i="1" s="1"/>
  <c r="I107" i="1"/>
  <c r="N9" i="1"/>
  <c r="G41" i="1"/>
  <c r="G43" i="1" s="1"/>
  <c r="G45" i="1" s="1"/>
  <c r="J71" i="1"/>
  <c r="J68" i="1"/>
  <c r="H71" i="1"/>
  <c r="H65" i="1"/>
  <c r="H73" i="1"/>
  <c r="J74" i="1"/>
  <c r="H72" i="1"/>
  <c r="J64" i="1"/>
  <c r="Y78" i="1"/>
  <c r="AE78" i="1" s="1"/>
  <c r="Y75" i="1"/>
  <c r="AE75" i="1" s="1"/>
  <c r="J67" i="1"/>
  <c r="H67" i="1"/>
  <c r="J75" i="1"/>
  <c r="H68" i="1"/>
  <c r="H69" i="1"/>
  <c r="H76" i="1"/>
  <c r="J72" i="1"/>
  <c r="H77" i="1"/>
  <c r="H75" i="1"/>
  <c r="J66" i="1"/>
  <c r="J65" i="1"/>
  <c r="H74" i="1"/>
  <c r="M12" i="1"/>
  <c r="K21" i="1"/>
  <c r="K27" i="1"/>
  <c r="K32" i="1" s="1"/>
  <c r="Z79" i="1"/>
  <c r="AE79" i="1"/>
  <c r="H33" i="3"/>
  <c r="F33" i="3" s="1"/>
  <c r="M57" i="1"/>
  <c r="N57" i="1"/>
  <c r="O57" i="1"/>
  <c r="P48" i="1"/>
  <c r="G128" i="1"/>
  <c r="G163" i="1"/>
  <c r="I187" i="1" s="1"/>
  <c r="N13" i="1"/>
  <c r="I32" i="1"/>
  <c r="N17" i="1"/>
  <c r="M29" i="1"/>
  <c r="M30" i="1"/>
  <c r="S12" i="2"/>
  <c r="O28" i="1"/>
  <c r="P15" i="1"/>
  <c r="O26" i="1"/>
  <c r="P11" i="1"/>
  <c r="M12" i="2"/>
  <c r="I13" i="2"/>
  <c r="L13" i="2" s="1"/>
  <c r="D8" i="2"/>
  <c r="D13" i="2"/>
  <c r="E13" i="2" s="1"/>
  <c r="C13" i="2"/>
  <c r="N8" i="1" l="1"/>
  <c r="N25" i="1" s="1"/>
  <c r="M93" i="1"/>
  <c r="F13" i="2"/>
  <c r="G171" i="1"/>
  <c r="K171" i="1" s="1"/>
  <c r="O9" i="1"/>
  <c r="G59" i="1"/>
  <c r="G82" i="1" s="1"/>
  <c r="G89" i="1" s="1"/>
  <c r="N12" i="1"/>
  <c r="N27" i="1" s="1"/>
  <c r="M21" i="1"/>
  <c r="M27" i="1"/>
  <c r="M32" i="1" s="1"/>
  <c r="K37" i="1"/>
  <c r="K41" i="1"/>
  <c r="I35" i="1"/>
  <c r="I41" i="1"/>
  <c r="F23" i="5"/>
  <c r="F31" i="5" s="1"/>
  <c r="P57" i="1"/>
  <c r="Q48" i="1"/>
  <c r="G164" i="1"/>
  <c r="G166" i="1" s="1"/>
  <c r="I39" i="1"/>
  <c r="I37" i="1"/>
  <c r="O13" i="1"/>
  <c r="K39" i="1"/>
  <c r="K35" i="1"/>
  <c r="N29" i="1"/>
  <c r="O17" i="1"/>
  <c r="N30" i="1"/>
  <c r="I14" i="2"/>
  <c r="L14" i="2" s="1"/>
  <c r="I15" i="2" s="1"/>
  <c r="L15" i="2" s="1"/>
  <c r="M13" i="2"/>
  <c r="Q13" i="2"/>
  <c r="P13" i="2"/>
  <c r="Q15" i="1"/>
  <c r="P28" i="1"/>
  <c r="P26" i="1"/>
  <c r="Q11" i="1"/>
  <c r="C14" i="2"/>
  <c r="D14" i="2"/>
  <c r="N93" i="1" l="1"/>
  <c r="O8" i="1"/>
  <c r="O25" i="1" s="1"/>
  <c r="E14" i="2"/>
  <c r="I171" i="1"/>
  <c r="G80" i="1"/>
  <c r="P9" i="1"/>
  <c r="O12" i="1"/>
  <c r="O27" i="1" s="1"/>
  <c r="N21" i="1"/>
  <c r="K43" i="1"/>
  <c r="K45" i="1" s="1"/>
  <c r="K59" i="1" s="1"/>
  <c r="K94" i="1" s="1"/>
  <c r="K133" i="1" s="1"/>
  <c r="K176" i="1" s="1"/>
  <c r="I43" i="1"/>
  <c r="I45" i="1" s="1"/>
  <c r="I59" i="1" s="1"/>
  <c r="I94" i="1" s="1"/>
  <c r="I133" i="1" s="1"/>
  <c r="I176" i="1" s="1"/>
  <c r="M39" i="1"/>
  <c r="M41" i="1"/>
  <c r="M14" i="2"/>
  <c r="R48" i="1"/>
  <c r="Q57" i="1"/>
  <c r="M35" i="1"/>
  <c r="M37" i="1"/>
  <c r="P13" i="1"/>
  <c r="O30" i="1"/>
  <c r="O29" i="1"/>
  <c r="P17" i="1"/>
  <c r="N32" i="1"/>
  <c r="N41" i="1" s="1"/>
  <c r="G85" i="1"/>
  <c r="G134" i="1"/>
  <c r="G126" i="1"/>
  <c r="R13" i="2"/>
  <c r="Q28" i="1"/>
  <c r="R15" i="1"/>
  <c r="R11" i="1"/>
  <c r="Q26" i="1"/>
  <c r="M15" i="2"/>
  <c r="I16" i="2"/>
  <c r="L16" i="2" s="1"/>
  <c r="O93" i="1" l="1"/>
  <c r="P8" i="1"/>
  <c r="F14" i="2"/>
  <c r="Q9" i="1"/>
  <c r="I77" i="1"/>
  <c r="K77" i="1" s="1"/>
  <c r="K79" i="1" s="1"/>
  <c r="O32" i="1"/>
  <c r="O41" i="1" s="1"/>
  <c r="P12" i="1"/>
  <c r="P27" i="1" s="1"/>
  <c r="O21" i="1"/>
  <c r="M43" i="1"/>
  <c r="M45" i="1" s="1"/>
  <c r="M59" i="1" s="1"/>
  <c r="M94" i="1" s="1"/>
  <c r="M133" i="1" s="1"/>
  <c r="M176" i="1" s="1"/>
  <c r="S48" i="1"/>
  <c r="R57" i="1"/>
  <c r="Q13" i="1"/>
  <c r="N35" i="1"/>
  <c r="N37" i="1"/>
  <c r="N39" i="1"/>
  <c r="P29" i="1"/>
  <c r="Q17" i="1"/>
  <c r="P30" i="1"/>
  <c r="S13" i="2"/>
  <c r="R28" i="1"/>
  <c r="S15" i="1"/>
  <c r="S11" i="1"/>
  <c r="R26" i="1"/>
  <c r="M16" i="2"/>
  <c r="I17" i="2"/>
  <c r="L17" i="2" s="1"/>
  <c r="P93" i="1" l="1"/>
  <c r="Q8" i="1"/>
  <c r="P25" i="1"/>
  <c r="E15" i="2"/>
  <c r="F15" i="2"/>
  <c r="D15" i="2"/>
  <c r="C15" i="2"/>
  <c r="I79" i="1"/>
  <c r="I82" i="1" s="1"/>
  <c r="R9" i="1"/>
  <c r="Q25" i="1"/>
  <c r="O35" i="1"/>
  <c r="M77" i="1"/>
  <c r="M79" i="1" s="1"/>
  <c r="M80" i="1" s="1"/>
  <c r="J77" i="1"/>
  <c r="O39" i="1"/>
  <c r="O37" i="1"/>
  <c r="Q12" i="1"/>
  <c r="Q27" i="1" s="1"/>
  <c r="P21" i="1"/>
  <c r="T48" i="1"/>
  <c r="T57" i="1" s="1"/>
  <c r="S57" i="1"/>
  <c r="R13" i="1"/>
  <c r="Q30" i="1"/>
  <c r="Q29" i="1"/>
  <c r="R17" i="1"/>
  <c r="P32" i="1"/>
  <c r="P41" i="1" s="1"/>
  <c r="N43" i="1"/>
  <c r="N45" i="1" s="1"/>
  <c r="N59" i="1" s="1"/>
  <c r="K82" i="1"/>
  <c r="K89" i="1" s="1"/>
  <c r="K80" i="1"/>
  <c r="Q14" i="2"/>
  <c r="P14" i="2"/>
  <c r="T15" i="1"/>
  <c r="T28" i="1" s="1"/>
  <c r="S28" i="1"/>
  <c r="T11" i="1"/>
  <c r="T26" i="1" s="1"/>
  <c r="S26" i="1"/>
  <c r="M17" i="2"/>
  <c r="I18" i="2"/>
  <c r="L18" i="2" s="1"/>
  <c r="Q93" i="1" l="1"/>
  <c r="R8" i="1"/>
  <c r="E16" i="2"/>
  <c r="F16" i="2"/>
  <c r="D16" i="2"/>
  <c r="C16" i="2"/>
  <c r="I85" i="1"/>
  <c r="I89" i="1"/>
  <c r="I91" i="1"/>
  <c r="I80" i="1"/>
  <c r="S9" i="1"/>
  <c r="R25" i="1"/>
  <c r="M82" i="1"/>
  <c r="O43" i="1"/>
  <c r="O45" i="1" s="1"/>
  <c r="O59" i="1" s="1"/>
  <c r="O94" i="1" s="1"/>
  <c r="O133" i="1" s="1"/>
  <c r="O176" i="1" s="1"/>
  <c r="Q32" i="1"/>
  <c r="Q39" i="1" s="1"/>
  <c r="R12" i="1"/>
  <c r="R27" i="1" s="1"/>
  <c r="Q21" i="1"/>
  <c r="S13" i="1"/>
  <c r="R29" i="1"/>
  <c r="R30" i="1"/>
  <c r="S17" i="1"/>
  <c r="N94" i="1"/>
  <c r="N133" i="1" s="1"/>
  <c r="N176" i="1" s="1"/>
  <c r="N77" i="1"/>
  <c r="N79" i="1" s="1"/>
  <c r="P35" i="1"/>
  <c r="P37" i="1"/>
  <c r="P39" i="1"/>
  <c r="K91" i="1"/>
  <c r="K96" i="1" s="1"/>
  <c r="K85" i="1"/>
  <c r="R14" i="2"/>
  <c r="I19" i="2"/>
  <c r="L19" i="2" s="1"/>
  <c r="M18" i="2"/>
  <c r="R93" i="1" l="1"/>
  <c r="S8" i="1"/>
  <c r="I96" i="1"/>
  <c r="E17" i="2"/>
  <c r="F17" i="2" s="1"/>
  <c r="D17" i="2"/>
  <c r="C17" i="2"/>
  <c r="M91" i="1"/>
  <c r="M96" i="1" s="1"/>
  <c r="M89" i="1"/>
  <c r="M85" i="1"/>
  <c r="M144" i="1" s="1"/>
  <c r="T9" i="1"/>
  <c r="S25" i="1"/>
  <c r="Q37" i="1"/>
  <c r="O77" i="1"/>
  <c r="O79" i="1" s="1"/>
  <c r="O80" i="1" s="1"/>
  <c r="R32" i="1"/>
  <c r="R37" i="1" s="1"/>
  <c r="Q41" i="1"/>
  <c r="Q35" i="1"/>
  <c r="S12" i="1"/>
  <c r="S27" i="1" s="1"/>
  <c r="R21" i="1"/>
  <c r="P43" i="1"/>
  <c r="P45" i="1" s="1"/>
  <c r="P59" i="1" s="1"/>
  <c r="P94" i="1" s="1"/>
  <c r="P133" i="1" s="1"/>
  <c r="P176" i="1" s="1"/>
  <c r="T13" i="1"/>
  <c r="T17" i="1"/>
  <c r="S29" i="1"/>
  <c r="S30" i="1"/>
  <c r="N80" i="1"/>
  <c r="N82" i="1"/>
  <c r="S14" i="2"/>
  <c r="I20" i="2"/>
  <c r="L20" i="2" s="1"/>
  <c r="M19" i="2"/>
  <c r="S93" i="1" l="1"/>
  <c r="T8" i="1"/>
  <c r="C18" i="2"/>
  <c r="D18" i="2"/>
  <c r="E18" i="2" s="1"/>
  <c r="F18" i="2" s="1"/>
  <c r="R39" i="1"/>
  <c r="R35" i="1"/>
  <c r="Q43" i="1"/>
  <c r="Q45" i="1" s="1"/>
  <c r="Q59" i="1" s="1"/>
  <c r="Q77" i="1" s="1"/>
  <c r="Q79" i="1" s="1"/>
  <c r="Q80" i="1" s="1"/>
  <c r="R41" i="1"/>
  <c r="O82" i="1"/>
  <c r="O91" i="1" s="1"/>
  <c r="O96" i="1" s="1"/>
  <c r="P77" i="1"/>
  <c r="P79" i="1" s="1"/>
  <c r="P80" i="1" s="1"/>
  <c r="T12" i="1"/>
  <c r="S21" i="1"/>
  <c r="N85" i="1"/>
  <c r="N91" i="1"/>
  <c r="S32" i="1"/>
  <c r="S41" i="1" s="1"/>
  <c r="T29" i="1"/>
  <c r="T30" i="1"/>
  <c r="P15" i="2"/>
  <c r="Q15" i="2"/>
  <c r="M20" i="2"/>
  <c r="I21" i="2"/>
  <c r="L21" i="2" s="1"/>
  <c r="T93" i="1" l="1"/>
  <c r="N96" i="1"/>
  <c r="T25" i="1"/>
  <c r="C19" i="2"/>
  <c r="D19" i="2"/>
  <c r="E19" i="2" s="1"/>
  <c r="F19" i="2" s="1"/>
  <c r="R43" i="1"/>
  <c r="R45" i="1" s="1"/>
  <c r="R59" i="1" s="1"/>
  <c r="R77" i="1" s="1"/>
  <c r="R79" i="1" s="1"/>
  <c r="R80" i="1" s="1"/>
  <c r="Q82" i="1"/>
  <c r="Q85" i="1" s="1"/>
  <c r="Q94" i="1"/>
  <c r="Q133" i="1" s="1"/>
  <c r="Q176" i="1" s="1"/>
  <c r="O85" i="1"/>
  <c r="P82" i="1"/>
  <c r="P85" i="1" s="1"/>
  <c r="T21" i="1"/>
  <c r="T27" i="1"/>
  <c r="S39" i="1"/>
  <c r="S35" i="1"/>
  <c r="S37" i="1"/>
  <c r="R15" i="2"/>
  <c r="M21" i="2"/>
  <c r="I22" i="2"/>
  <c r="L22" i="2" s="1"/>
  <c r="T32" i="1" l="1"/>
  <c r="T41" i="1" s="1"/>
  <c r="D20" i="2"/>
  <c r="E20" i="2" s="1"/>
  <c r="F20" i="2" s="1"/>
  <c r="C20" i="2"/>
  <c r="R82" i="1"/>
  <c r="R85" i="1" s="1"/>
  <c r="R94" i="1"/>
  <c r="R133" i="1" s="1"/>
  <c r="R176" i="1" s="1"/>
  <c r="Q91" i="1"/>
  <c r="Q96" i="1" s="1"/>
  <c r="P91" i="1"/>
  <c r="R91" i="1"/>
  <c r="S43" i="1"/>
  <c r="S45" i="1" s="1"/>
  <c r="S59" i="1" s="1"/>
  <c r="S94" i="1" s="1"/>
  <c r="S133" i="1" s="1"/>
  <c r="S176" i="1" s="1"/>
  <c r="S15" i="2"/>
  <c r="M22" i="2"/>
  <c r="I23" i="2"/>
  <c r="I24" i="2" s="1"/>
  <c r="T39" i="1" l="1"/>
  <c r="T35" i="1"/>
  <c r="T37" i="1"/>
  <c r="T43" i="1" s="1"/>
  <c r="T45" i="1" s="1"/>
  <c r="T59" i="1" s="1"/>
  <c r="T94" i="1" s="1"/>
  <c r="T133" i="1" s="1"/>
  <c r="T176" i="1" s="1"/>
  <c r="P96" i="1"/>
  <c r="C21" i="2"/>
  <c r="D21" i="2"/>
  <c r="E21" i="2" s="1"/>
  <c r="F21" i="2" s="1"/>
  <c r="R96" i="1"/>
  <c r="S77" i="1"/>
  <c r="S79" i="1" s="1"/>
  <c r="S80" i="1" s="1"/>
  <c r="Q16" i="2"/>
  <c r="P16" i="2"/>
  <c r="L23" i="2"/>
  <c r="D22" i="2" l="1"/>
  <c r="E22" i="2" s="1"/>
  <c r="F22" i="2" s="1"/>
  <c r="C22" i="2"/>
  <c r="T77" i="1"/>
  <c r="T79" i="1" s="1"/>
  <c r="T80" i="1" s="1"/>
  <c r="S82" i="1"/>
  <c r="S91" i="1" s="1"/>
  <c r="R16" i="2"/>
  <c r="M23" i="2"/>
  <c r="I27" i="2"/>
  <c r="S96" i="1" l="1"/>
  <c r="D23" i="2"/>
  <c r="D24" i="2" s="1"/>
  <c r="C23" i="2"/>
  <c r="S85" i="1"/>
  <c r="T82" i="1"/>
  <c r="T85" i="1" s="1"/>
  <c r="T91" i="1" s="1"/>
  <c r="E91" i="1" s="1"/>
  <c r="S16" i="2"/>
  <c r="L27" i="2"/>
  <c r="E23" i="2" l="1"/>
  <c r="T96" i="1"/>
  <c r="P17" i="2"/>
  <c r="Q17" i="2"/>
  <c r="R17" i="2" s="1"/>
  <c r="S17" i="2" s="1"/>
  <c r="I28" i="2"/>
  <c r="L28" i="2" s="1"/>
  <c r="M27" i="2"/>
  <c r="E24" i="2" l="1"/>
  <c r="F23" i="2"/>
  <c r="P18" i="2"/>
  <c r="Q18" i="2"/>
  <c r="R18" i="2" s="1"/>
  <c r="S18" i="2" s="1"/>
  <c r="I29" i="2"/>
  <c r="L29" i="2" s="1"/>
  <c r="M28" i="2"/>
  <c r="C27" i="2" l="1"/>
  <c r="D27" i="2"/>
  <c r="E27" i="2" s="1"/>
  <c r="F27" i="2" s="1"/>
  <c r="Q19" i="2"/>
  <c r="R19" i="2" s="1"/>
  <c r="S19" i="2" s="1"/>
  <c r="P19" i="2"/>
  <c r="M29" i="2"/>
  <c r="I30" i="2"/>
  <c r="L30" i="2" s="1"/>
  <c r="C28" i="2" l="1"/>
  <c r="D28" i="2"/>
  <c r="E28" i="2" s="1"/>
  <c r="F28" i="2" s="1"/>
  <c r="Q20" i="2"/>
  <c r="R20" i="2" s="1"/>
  <c r="S20" i="2" s="1"/>
  <c r="P20" i="2"/>
  <c r="I31" i="2"/>
  <c r="L31" i="2" s="1"/>
  <c r="M30" i="2"/>
  <c r="C29" i="2" l="1"/>
  <c r="D29" i="2"/>
  <c r="E29" i="2" s="1"/>
  <c r="F29" i="2" s="1"/>
  <c r="P21" i="2"/>
  <c r="Q21" i="2"/>
  <c r="R21" i="2" s="1"/>
  <c r="S21" i="2" s="1"/>
  <c r="I32" i="2"/>
  <c r="L32" i="2" s="1"/>
  <c r="M31" i="2"/>
  <c r="D30" i="2" l="1"/>
  <c r="E30" i="2" s="1"/>
  <c r="C30" i="2"/>
  <c r="F30" i="2"/>
  <c r="D31" i="2"/>
  <c r="E31" i="2" s="1"/>
  <c r="C31" i="2"/>
  <c r="Q22" i="2"/>
  <c r="R22" i="2" s="1"/>
  <c r="S22" i="2" s="1"/>
  <c r="P22" i="2"/>
  <c r="I33" i="2"/>
  <c r="L33" i="2" s="1"/>
  <c r="M32" i="2"/>
  <c r="F31" i="2" l="1"/>
  <c r="P23" i="2"/>
  <c r="Q23" i="2"/>
  <c r="I34" i="2"/>
  <c r="L34" i="2" s="1"/>
  <c r="M33" i="2"/>
  <c r="D32" i="2" l="1"/>
  <c r="E32" i="2" s="1"/>
  <c r="C32" i="2"/>
  <c r="R23" i="2"/>
  <c r="Q24" i="2"/>
  <c r="AU6" i="2" s="1"/>
  <c r="AM6" i="2" s="1"/>
  <c r="I35" i="2"/>
  <c r="L35" i="2" s="1"/>
  <c r="M34" i="2"/>
  <c r="F32" i="2" l="1"/>
  <c r="R24" i="2"/>
  <c r="S23" i="2"/>
  <c r="M35" i="2"/>
  <c r="I36" i="2"/>
  <c r="L36" i="2" s="1"/>
  <c r="D33" i="2" l="1"/>
  <c r="E33" i="2" s="1"/>
  <c r="F33" i="2" s="1"/>
  <c r="C33" i="2"/>
  <c r="Q27" i="2"/>
  <c r="P27" i="2"/>
  <c r="AY6" i="2"/>
  <c r="AO6" i="2" s="1"/>
  <c r="AS6" i="2"/>
  <c r="I124" i="1" s="1"/>
  <c r="M36" i="2"/>
  <c r="I37" i="2"/>
  <c r="L37" i="2" s="1"/>
  <c r="C34" i="2" l="1"/>
  <c r="D34" i="2"/>
  <c r="E34" i="2" s="1"/>
  <c r="F34" i="2" s="1"/>
  <c r="I122" i="1"/>
  <c r="I119" i="1" s="1"/>
  <c r="I134" i="1" s="1"/>
  <c r="AQ6" i="2"/>
  <c r="R27" i="2"/>
  <c r="M37" i="2"/>
  <c r="I38" i="2"/>
  <c r="I39" i="2" s="1"/>
  <c r="D35" i="2" l="1"/>
  <c r="E35" i="2" s="1"/>
  <c r="F35" i="2" s="1"/>
  <c r="C35" i="2"/>
  <c r="L38" i="2"/>
  <c r="I42" i="2" s="1"/>
  <c r="L42" i="2" s="1"/>
  <c r="S27" i="2"/>
  <c r="I126" i="1"/>
  <c r="I128" i="1"/>
  <c r="I129" i="1"/>
  <c r="C36" i="2" l="1"/>
  <c r="D36" i="2"/>
  <c r="E36" i="2" s="1"/>
  <c r="F36" i="2" s="1"/>
  <c r="M38" i="2"/>
  <c r="I151" i="1"/>
  <c r="Q28" i="2"/>
  <c r="P28" i="2"/>
  <c r="M42" i="2"/>
  <c r="I43" i="2"/>
  <c r="L43" i="2" s="1"/>
  <c r="D37" i="2" l="1"/>
  <c r="E37" i="2" s="1"/>
  <c r="F37" i="2" s="1"/>
  <c r="C37" i="2"/>
  <c r="R28" i="2"/>
  <c r="I154" i="1"/>
  <c r="I153" i="1" s="1"/>
  <c r="K152" i="1" s="1"/>
  <c r="I44" i="2"/>
  <c r="L44" i="2" s="1"/>
  <c r="M43" i="2"/>
  <c r="D38" i="2" l="1"/>
  <c r="D39" i="2" s="1"/>
  <c r="C38" i="2"/>
  <c r="I155" i="1"/>
  <c r="I172" i="1" s="1"/>
  <c r="I177" i="1"/>
  <c r="I184" i="1" s="1"/>
  <c r="S28" i="2"/>
  <c r="M44" i="2"/>
  <c r="I45" i="2"/>
  <c r="L45" i="2" s="1"/>
  <c r="E38" i="2" l="1"/>
  <c r="I178" i="1"/>
  <c r="I157" i="1"/>
  <c r="I162" i="1"/>
  <c r="I164" i="1" s="1"/>
  <c r="I166" i="1" s="1"/>
  <c r="P29" i="2"/>
  <c r="Q29" i="2"/>
  <c r="I46" i="2"/>
  <c r="L46" i="2" s="1"/>
  <c r="M45" i="2"/>
  <c r="E39" i="2" l="1"/>
  <c r="F38" i="2"/>
  <c r="R29" i="2"/>
  <c r="M46" i="2"/>
  <c r="I47" i="2"/>
  <c r="L47" i="2" s="1"/>
  <c r="D42" i="2" l="1"/>
  <c r="E42" i="2" s="1"/>
  <c r="F42" i="2" s="1"/>
  <c r="C42" i="2"/>
  <c r="S29" i="2"/>
  <c r="M47" i="2"/>
  <c r="I48" i="2"/>
  <c r="L48" i="2" s="1"/>
  <c r="D43" i="2" l="1"/>
  <c r="E43" i="2" s="1"/>
  <c r="F43" i="2" s="1"/>
  <c r="C43" i="2"/>
  <c r="Q30" i="2"/>
  <c r="P30" i="2"/>
  <c r="M48" i="2"/>
  <c r="I49" i="2"/>
  <c r="L49" i="2" s="1"/>
  <c r="C44" i="2" l="1"/>
  <c r="D44" i="2"/>
  <c r="E44" i="2" s="1"/>
  <c r="F44" i="2" s="1"/>
  <c r="R30" i="2"/>
  <c r="M49" i="2"/>
  <c r="I50" i="2"/>
  <c r="L50" i="2" s="1"/>
  <c r="D45" i="2" l="1"/>
  <c r="E45" i="2" s="1"/>
  <c r="C45" i="2"/>
  <c r="F45" i="2"/>
  <c r="S30" i="2"/>
  <c r="I51" i="2"/>
  <c r="L51" i="2" s="1"/>
  <c r="M50" i="2"/>
  <c r="D46" i="2" l="1"/>
  <c r="E46" i="2" s="1"/>
  <c r="C46" i="2"/>
  <c r="F46" i="2"/>
  <c r="Q31" i="2"/>
  <c r="P31" i="2"/>
  <c r="M51" i="2"/>
  <c r="I52" i="2"/>
  <c r="L52" i="2" s="1"/>
  <c r="C47" i="2" l="1"/>
  <c r="D47" i="2"/>
  <c r="E47" i="2" s="1"/>
  <c r="F47" i="2" s="1"/>
  <c r="R31" i="2"/>
  <c r="I53" i="2"/>
  <c r="I54" i="2" s="1"/>
  <c r="M52" i="2"/>
  <c r="D48" i="2" l="1"/>
  <c r="E48" i="2" s="1"/>
  <c r="F48" i="2" s="1"/>
  <c r="C48" i="2"/>
  <c r="S31" i="2"/>
  <c r="L53" i="2"/>
  <c r="M53" i="2" s="1"/>
  <c r="D49" i="2" l="1"/>
  <c r="E49" i="2" s="1"/>
  <c r="F49" i="2" s="1"/>
  <c r="C49" i="2"/>
  <c r="P32" i="2"/>
  <c r="Q32" i="2"/>
  <c r="R32" i="2" s="1"/>
  <c r="S32" i="2" s="1"/>
  <c r="I57" i="2"/>
  <c r="L57" i="2" s="1"/>
  <c r="C50" i="2" l="1"/>
  <c r="D50" i="2"/>
  <c r="E50" i="2" s="1"/>
  <c r="F50" i="2" s="1"/>
  <c r="Q33" i="2"/>
  <c r="R33" i="2" s="1"/>
  <c r="S33" i="2" s="1"/>
  <c r="P33" i="2"/>
  <c r="M57" i="2"/>
  <c r="I58" i="2"/>
  <c r="D51" i="2" l="1"/>
  <c r="E51" i="2" s="1"/>
  <c r="F51" i="2" s="1"/>
  <c r="C51" i="2"/>
  <c r="Q34" i="2"/>
  <c r="R34" i="2" s="1"/>
  <c r="P34" i="2"/>
  <c r="S34" i="2"/>
  <c r="L58" i="2"/>
  <c r="D52" i="2" l="1"/>
  <c r="E52" i="2" s="1"/>
  <c r="C52" i="2"/>
  <c r="Q35" i="2"/>
  <c r="R35" i="2" s="1"/>
  <c r="S35" i="2" s="1"/>
  <c r="P35" i="2"/>
  <c r="M58" i="2"/>
  <c r="I59" i="2"/>
  <c r="F52" i="2" l="1"/>
  <c r="Q36" i="2"/>
  <c r="R36" i="2" s="1"/>
  <c r="P36" i="2"/>
  <c r="S36" i="2"/>
  <c r="L59" i="2"/>
  <c r="C53" i="2" l="1"/>
  <c r="D53" i="2"/>
  <c r="D54" i="2" s="1"/>
  <c r="Q37" i="2"/>
  <c r="R37" i="2" s="1"/>
  <c r="S37" i="2" s="1"/>
  <c r="P37" i="2"/>
  <c r="I60" i="2"/>
  <c r="L60" i="2" s="1"/>
  <c r="M59" i="2"/>
  <c r="E53" i="2" l="1"/>
  <c r="Q38" i="2"/>
  <c r="P38" i="2"/>
  <c r="I61" i="2"/>
  <c r="L61" i="2" s="1"/>
  <c r="M60" i="2"/>
  <c r="E54" i="2" l="1"/>
  <c r="F53" i="2"/>
  <c r="R38" i="2"/>
  <c r="Q39" i="2"/>
  <c r="AU7" i="2" s="1"/>
  <c r="AM7" i="2" s="1"/>
  <c r="M61" i="2"/>
  <c r="I62" i="2"/>
  <c r="L62" i="2" s="1"/>
  <c r="D57" i="2" l="1"/>
  <c r="E57" i="2" s="1"/>
  <c r="F57" i="2" s="1"/>
  <c r="C57" i="2"/>
  <c r="R39" i="2"/>
  <c r="S38" i="2"/>
  <c r="M62" i="2"/>
  <c r="I63" i="2"/>
  <c r="L63" i="2" s="1"/>
  <c r="D58" i="2" l="1"/>
  <c r="E58" i="2" s="1"/>
  <c r="F58" i="2" s="1"/>
  <c r="C58" i="2"/>
  <c r="AY7" i="2"/>
  <c r="AO7" i="2" s="1"/>
  <c r="AS7" i="2"/>
  <c r="K124" i="1" s="1"/>
  <c r="P42" i="2"/>
  <c r="Q42" i="2"/>
  <c r="M63" i="2"/>
  <c r="I64" i="2"/>
  <c r="L64" i="2" s="1"/>
  <c r="D59" i="2" l="1"/>
  <c r="E59" i="2" s="1"/>
  <c r="F59" i="2" s="1"/>
  <c r="C59" i="2"/>
  <c r="R42" i="2"/>
  <c r="K122" i="1"/>
  <c r="K119" i="1" s="1"/>
  <c r="K134" i="1" s="1"/>
  <c r="AQ7" i="2"/>
  <c r="M64" i="2"/>
  <c r="I65" i="2"/>
  <c r="L65" i="2" s="1"/>
  <c r="D60" i="2" l="1"/>
  <c r="E60" i="2" s="1"/>
  <c r="F60" i="2" s="1"/>
  <c r="C60" i="2"/>
  <c r="S42" i="2"/>
  <c r="K128" i="1"/>
  <c r="K126" i="1"/>
  <c r="K129" i="1"/>
  <c r="M65" i="2"/>
  <c r="I66" i="2"/>
  <c r="L66" i="2" s="1"/>
  <c r="D61" i="2" l="1"/>
  <c r="E61" i="2" s="1"/>
  <c r="F61" i="2" s="1"/>
  <c r="C61" i="2"/>
  <c r="K151" i="1"/>
  <c r="K154" i="1" s="1"/>
  <c r="K153" i="1" s="1"/>
  <c r="M152" i="1" s="1"/>
  <c r="Q43" i="2"/>
  <c r="P43" i="2"/>
  <c r="I67" i="2"/>
  <c r="L67" i="2" s="1"/>
  <c r="M66" i="2"/>
  <c r="D62" i="2" l="1"/>
  <c r="E62" i="2" s="1"/>
  <c r="F62" i="2" s="1"/>
  <c r="C62" i="2"/>
  <c r="R43" i="2"/>
  <c r="K177" i="1"/>
  <c r="K184" i="1" s="1"/>
  <c r="K155" i="1"/>
  <c r="M67" i="2"/>
  <c r="I68" i="2"/>
  <c r="I69" i="2" s="1"/>
  <c r="C63" i="2" l="1"/>
  <c r="D63" i="2"/>
  <c r="E63" i="2" s="1"/>
  <c r="F63" i="2" s="1"/>
  <c r="K178" i="1"/>
  <c r="K162" i="1"/>
  <c r="K164" i="1" s="1"/>
  <c r="K166" i="1" s="1"/>
  <c r="K157" i="1"/>
  <c r="K172" i="1"/>
  <c r="S43" i="2"/>
  <c r="L68" i="2"/>
  <c r="C64" i="2" l="1"/>
  <c r="D64" i="2"/>
  <c r="E64" i="2" s="1"/>
  <c r="F64" i="2" s="1"/>
  <c r="P44" i="2"/>
  <c r="Q44" i="2"/>
  <c r="I72" i="2"/>
  <c r="L72" i="2" s="1"/>
  <c r="M68" i="2"/>
  <c r="C65" i="2" l="1"/>
  <c r="D65" i="2"/>
  <c r="E65" i="2" s="1"/>
  <c r="F65" i="2" s="1"/>
  <c r="R44" i="2"/>
  <c r="I73" i="2"/>
  <c r="L73" i="2" s="1"/>
  <c r="M72" i="2"/>
  <c r="D66" i="2" l="1"/>
  <c r="E66" i="2" s="1"/>
  <c r="F66" i="2" s="1"/>
  <c r="C66" i="2"/>
  <c r="S44" i="2"/>
  <c r="M73" i="2"/>
  <c r="I74" i="2"/>
  <c r="L74" i="2" s="1"/>
  <c r="C67" i="2" l="1"/>
  <c r="D67" i="2"/>
  <c r="E67" i="2" s="1"/>
  <c r="F67" i="2" s="1"/>
  <c r="Q45" i="2"/>
  <c r="P45" i="2"/>
  <c r="M74" i="2"/>
  <c r="I75" i="2"/>
  <c r="L75" i="2" s="1"/>
  <c r="C68" i="2" l="1"/>
  <c r="D68" i="2"/>
  <c r="D69" i="2" s="1"/>
  <c r="R45" i="2"/>
  <c r="M75" i="2"/>
  <c r="I76" i="2"/>
  <c r="E68" i="2" l="1"/>
  <c r="S45" i="2"/>
  <c r="L76" i="2"/>
  <c r="E69" i="2" l="1"/>
  <c r="F68" i="2"/>
  <c r="Q46" i="2"/>
  <c r="P46" i="2"/>
  <c r="M76" i="2"/>
  <c r="I77" i="2"/>
  <c r="L77" i="2" s="1"/>
  <c r="C72" i="2" l="1"/>
  <c r="D72" i="2"/>
  <c r="E72" i="2" s="1"/>
  <c r="F72" i="2" s="1"/>
  <c r="R46" i="2"/>
  <c r="I78" i="2"/>
  <c r="L78" i="2" s="1"/>
  <c r="M77" i="2"/>
  <c r="C73" i="2" l="1"/>
  <c r="D73" i="2"/>
  <c r="E73" i="2" s="1"/>
  <c r="F73" i="2" s="1"/>
  <c r="S46" i="2"/>
  <c r="M78" i="2"/>
  <c r="I79" i="2"/>
  <c r="L79" i="2" s="1"/>
  <c r="D74" i="2" l="1"/>
  <c r="E74" i="2" s="1"/>
  <c r="F74" i="2" s="1"/>
  <c r="C74" i="2"/>
  <c r="P47" i="2"/>
  <c r="Q47" i="2"/>
  <c r="R47" i="2" s="1"/>
  <c r="S47" i="2" s="1"/>
  <c r="M79" i="2"/>
  <c r="I80" i="2"/>
  <c r="L80" i="2" s="1"/>
  <c r="D75" i="2" l="1"/>
  <c r="E75" i="2" s="1"/>
  <c r="F75" i="2" s="1"/>
  <c r="C75" i="2"/>
  <c r="Q48" i="2"/>
  <c r="R48" i="2" s="1"/>
  <c r="S48" i="2" s="1"/>
  <c r="P48" i="2"/>
  <c r="M80" i="2"/>
  <c r="I81" i="2"/>
  <c r="L81" i="2" s="1"/>
  <c r="C76" i="2" l="1"/>
  <c r="D76" i="2"/>
  <c r="E76" i="2" s="1"/>
  <c r="F76" i="2" s="1"/>
  <c r="Q49" i="2"/>
  <c r="R49" i="2" s="1"/>
  <c r="P49" i="2"/>
  <c r="S49" i="2"/>
  <c r="M81" i="2"/>
  <c r="I82" i="2"/>
  <c r="L82" i="2" s="1"/>
  <c r="C77" i="2" l="1"/>
  <c r="D77" i="2"/>
  <c r="E77" i="2" s="1"/>
  <c r="F77" i="2" s="1"/>
  <c r="P50" i="2"/>
  <c r="Q50" i="2"/>
  <c r="R50" i="2" s="1"/>
  <c r="S50" i="2" s="1"/>
  <c r="M82" i="2"/>
  <c r="I83" i="2"/>
  <c r="I84" i="2" s="1"/>
  <c r="C78" i="2" l="1"/>
  <c r="D78" i="2"/>
  <c r="E78" i="2" s="1"/>
  <c r="F78" i="2" s="1"/>
  <c r="L83" i="2"/>
  <c r="M83" i="2" s="1"/>
  <c r="Q51" i="2"/>
  <c r="R51" i="2" s="1"/>
  <c r="S51" i="2" s="1"/>
  <c r="P51" i="2"/>
  <c r="D79" i="2" l="1"/>
  <c r="E79" i="2" s="1"/>
  <c r="F79" i="2" s="1"/>
  <c r="C79" i="2"/>
  <c r="I87" i="2"/>
  <c r="L87" i="2" s="1"/>
  <c r="P52" i="2"/>
  <c r="Q52" i="2"/>
  <c r="R52" i="2" s="1"/>
  <c r="S52" i="2" s="1"/>
  <c r="C80" i="2" l="1"/>
  <c r="D80" i="2"/>
  <c r="Q53" i="2"/>
  <c r="P53" i="2"/>
  <c r="I88" i="2"/>
  <c r="L88" i="2" s="1"/>
  <c r="M87" i="2"/>
  <c r="E80" i="2" l="1"/>
  <c r="R53" i="2"/>
  <c r="Q54" i="2"/>
  <c r="AU8" i="2" s="1"/>
  <c r="AM8" i="2" s="1"/>
  <c r="M123" i="1" s="1"/>
  <c r="M88" i="2"/>
  <c r="I89" i="2"/>
  <c r="L89" i="2" s="1"/>
  <c r="F80" i="2" l="1"/>
  <c r="R54" i="2"/>
  <c r="S53" i="2"/>
  <c r="I90" i="2"/>
  <c r="L90" i="2" s="1"/>
  <c r="M89" i="2"/>
  <c r="C81" i="2" l="1"/>
  <c r="D81" i="2"/>
  <c r="Q57" i="2"/>
  <c r="P57" i="2"/>
  <c r="AY8" i="2"/>
  <c r="AO8" i="2" s="1"/>
  <c r="AS8" i="2"/>
  <c r="M124" i="1" s="1"/>
  <c r="M139" i="1" s="1"/>
  <c r="M163" i="1" s="1"/>
  <c r="M90" i="2"/>
  <c r="I91" i="2"/>
  <c r="L91" i="2" s="1"/>
  <c r="E81" i="2" l="1"/>
  <c r="M145" i="1"/>
  <c r="M122" i="1"/>
  <c r="M119" i="1" s="1"/>
  <c r="M129" i="1" s="1"/>
  <c r="AQ8" i="2"/>
  <c r="R57" i="2"/>
  <c r="I92" i="2"/>
  <c r="L92" i="2" s="1"/>
  <c r="M91" i="2"/>
  <c r="F81" i="2" l="1"/>
  <c r="S57" i="2"/>
  <c r="M128" i="1"/>
  <c r="M134" i="1"/>
  <c r="M126" i="1"/>
  <c r="T121" i="1"/>
  <c r="M146" i="1"/>
  <c r="Q121" i="1"/>
  <c r="R121" i="1"/>
  <c r="P121" i="1"/>
  <c r="O120" i="1"/>
  <c r="S121" i="1"/>
  <c r="O121" i="1"/>
  <c r="S120" i="1"/>
  <c r="R120" i="1"/>
  <c r="T120" i="1"/>
  <c r="N121" i="1"/>
  <c r="N120" i="1"/>
  <c r="Q120" i="1"/>
  <c r="P120" i="1"/>
  <c r="M170" i="1"/>
  <c r="M171" i="1" s="1"/>
  <c r="N171" i="1" s="1"/>
  <c r="O171" i="1" s="1"/>
  <c r="P171" i="1" s="1"/>
  <c r="Q171" i="1" s="1"/>
  <c r="R171" i="1" s="1"/>
  <c r="S171" i="1" s="1"/>
  <c r="T171" i="1" s="1"/>
  <c r="N111" i="1"/>
  <c r="O111" i="1" s="1"/>
  <c r="M92" i="2"/>
  <c r="I93" i="2"/>
  <c r="L93" i="2" s="1"/>
  <c r="D82" i="2" l="1"/>
  <c r="C82" i="2"/>
  <c r="M151" i="1"/>
  <c r="M154" i="1" s="1"/>
  <c r="M153" i="1" s="1"/>
  <c r="N152" i="1" s="1"/>
  <c r="P111" i="1"/>
  <c r="Q111" i="1" s="1"/>
  <c r="R111" i="1" s="1"/>
  <c r="S111" i="1" s="1"/>
  <c r="T111" i="1" s="1"/>
  <c r="O163" i="1"/>
  <c r="Q58" i="2"/>
  <c r="P58" i="2"/>
  <c r="S172" i="1"/>
  <c r="N172" i="1"/>
  <c r="O172" i="1"/>
  <c r="R172" i="1"/>
  <c r="P172" i="1"/>
  <c r="Q172" i="1"/>
  <c r="M147" i="1"/>
  <c r="I94" i="2"/>
  <c r="L94" i="2" s="1"/>
  <c r="M93" i="2"/>
  <c r="E82" i="2" l="1"/>
  <c r="R58" i="2"/>
  <c r="M177" i="1"/>
  <c r="M184" i="1" s="1"/>
  <c r="M155" i="1"/>
  <c r="M157" i="1" s="1"/>
  <c r="I95" i="2"/>
  <c r="L95" i="2" s="1"/>
  <c r="M94" i="2"/>
  <c r="F82" i="2" l="1"/>
  <c r="M178" i="1"/>
  <c r="M172" i="1"/>
  <c r="M162" i="1"/>
  <c r="M164" i="1" s="1"/>
  <c r="M166" i="1" s="1"/>
  <c r="S58" i="2"/>
  <c r="I96" i="2"/>
  <c r="L96" i="2" s="1"/>
  <c r="M95" i="2"/>
  <c r="D83" i="2" l="1"/>
  <c r="D84" i="2" s="1"/>
  <c r="C83" i="2"/>
  <c r="M158" i="1"/>
  <c r="Q59" i="2"/>
  <c r="P59" i="2"/>
  <c r="M96" i="2"/>
  <c r="I97" i="2"/>
  <c r="L97" i="2" s="1"/>
  <c r="E83" i="2" l="1"/>
  <c r="R59" i="2"/>
  <c r="I98" i="2"/>
  <c r="I99" i="2" s="1"/>
  <c r="M97" i="2"/>
  <c r="E84" i="2" l="1"/>
  <c r="F83" i="2"/>
  <c r="L98" i="2"/>
  <c r="I102" i="2" s="1"/>
  <c r="S59" i="2"/>
  <c r="D87" i="2" l="1"/>
  <c r="E87" i="2" s="1"/>
  <c r="F87" i="2" s="1"/>
  <c r="C87" i="2"/>
  <c r="M98" i="2"/>
  <c r="P60" i="2"/>
  <c r="Q60" i="2"/>
  <c r="L102" i="2"/>
  <c r="D88" i="2" l="1"/>
  <c r="E88" i="2" s="1"/>
  <c r="F88" i="2" s="1"/>
  <c r="C88" i="2"/>
  <c r="R60" i="2"/>
  <c r="M102" i="2"/>
  <c r="I103" i="2"/>
  <c r="D89" i="2" l="1"/>
  <c r="E89" i="2" s="1"/>
  <c r="F89" i="2" s="1"/>
  <c r="C89" i="2"/>
  <c r="S60" i="2"/>
  <c r="L103" i="2"/>
  <c r="C90" i="2" l="1"/>
  <c r="D90" i="2"/>
  <c r="E90" i="2" s="1"/>
  <c r="Q61" i="2"/>
  <c r="P61" i="2"/>
  <c r="M103" i="2"/>
  <c r="I104" i="2"/>
  <c r="L104" i="2" s="1"/>
  <c r="F90" i="2" l="1"/>
  <c r="R61" i="2"/>
  <c r="I105" i="2"/>
  <c r="L105" i="2" s="1"/>
  <c r="M104" i="2"/>
  <c r="C91" i="2" l="1"/>
  <c r="D91" i="2"/>
  <c r="E91" i="2" s="1"/>
  <c r="S61" i="2"/>
  <c r="I106" i="2"/>
  <c r="L106" i="2" s="1"/>
  <c r="M105" i="2"/>
  <c r="F91" i="2" l="1"/>
  <c r="Q62" i="2"/>
  <c r="R62" i="2" s="1"/>
  <c r="S62" i="2" s="1"/>
  <c r="P62" i="2"/>
  <c r="I107" i="2"/>
  <c r="L107" i="2" s="1"/>
  <c r="M106" i="2"/>
  <c r="D92" i="2" l="1"/>
  <c r="E92" i="2" s="1"/>
  <c r="C92" i="2"/>
  <c r="P63" i="2"/>
  <c r="Q63" i="2"/>
  <c r="R63" i="2" s="1"/>
  <c r="S63" i="2" s="1"/>
  <c r="I108" i="2"/>
  <c r="L108" i="2" s="1"/>
  <c r="M107" i="2"/>
  <c r="F92" i="2" l="1"/>
  <c r="Q64" i="2"/>
  <c r="R64" i="2" s="1"/>
  <c r="S64" i="2" s="1"/>
  <c r="P64" i="2"/>
  <c r="I109" i="2"/>
  <c r="L109" i="2" s="1"/>
  <c r="M108" i="2"/>
  <c r="D93" i="2" l="1"/>
  <c r="E93" i="2" s="1"/>
  <c r="C93" i="2"/>
  <c r="P65" i="2"/>
  <c r="Q65" i="2"/>
  <c r="R65" i="2" s="1"/>
  <c r="S65" i="2" s="1"/>
  <c r="M109" i="2"/>
  <c r="I110" i="2"/>
  <c r="L110" i="2" s="1"/>
  <c r="F93" i="2" l="1"/>
  <c r="Q66" i="2"/>
  <c r="R66" i="2" s="1"/>
  <c r="S66" i="2" s="1"/>
  <c r="P66" i="2"/>
  <c r="I111" i="2"/>
  <c r="L111" i="2" s="1"/>
  <c r="M110" i="2"/>
  <c r="C94" i="2" l="1"/>
  <c r="D94" i="2"/>
  <c r="E94" i="2" s="1"/>
  <c r="Q67" i="2"/>
  <c r="R67" i="2" s="1"/>
  <c r="P67" i="2"/>
  <c r="S67" i="2"/>
  <c r="I112" i="2"/>
  <c r="L112" i="2" s="1"/>
  <c r="M111" i="2"/>
  <c r="F94" i="2" l="1"/>
  <c r="P68" i="2"/>
  <c r="Q68" i="2"/>
  <c r="M112" i="2"/>
  <c r="I113" i="2"/>
  <c r="I114" i="2" s="1"/>
  <c r="C95" i="2" l="1"/>
  <c r="D95" i="2"/>
  <c r="E95" i="2" s="1"/>
  <c r="F95" i="2" s="1"/>
  <c r="L113" i="2"/>
  <c r="I117" i="2" s="1"/>
  <c r="L117" i="2" s="1"/>
  <c r="R68" i="2"/>
  <c r="Q69" i="2"/>
  <c r="AU9" i="2" s="1"/>
  <c r="AM9" i="2" s="1"/>
  <c r="N123" i="1" s="1"/>
  <c r="C96" i="2" l="1"/>
  <c r="D96" i="2"/>
  <c r="E96" i="2" s="1"/>
  <c r="F96" i="2" s="1"/>
  <c r="M113" i="2"/>
  <c r="R69" i="2"/>
  <c r="S68" i="2"/>
  <c r="M117" i="2"/>
  <c r="I118" i="2"/>
  <c r="L118" i="2" s="1"/>
  <c r="D97" i="2" l="1"/>
  <c r="E97" i="2" s="1"/>
  <c r="F97" i="2" s="1"/>
  <c r="C97" i="2"/>
  <c r="Q72" i="2"/>
  <c r="P72" i="2"/>
  <c r="AY9" i="2"/>
  <c r="AO9" i="2" s="1"/>
  <c r="AS9" i="2"/>
  <c r="N124" i="1" s="1"/>
  <c r="M118" i="2"/>
  <c r="I119" i="2"/>
  <c r="C98" i="2" l="1"/>
  <c r="D98" i="2"/>
  <c r="D99" i="2" s="1"/>
  <c r="N122" i="1"/>
  <c r="N119" i="1" s="1"/>
  <c r="AQ9" i="2"/>
  <c r="R72" i="2"/>
  <c r="L119" i="2"/>
  <c r="E98" i="2" l="1"/>
  <c r="N129" i="1"/>
  <c r="N128" i="1"/>
  <c r="N134" i="1"/>
  <c r="N126" i="1"/>
  <c r="S72" i="2"/>
  <c r="M119" i="2"/>
  <c r="I120" i="2"/>
  <c r="L120" i="2" s="1"/>
  <c r="E99" i="2" l="1"/>
  <c r="F98" i="2"/>
  <c r="Q73" i="2"/>
  <c r="P73" i="2"/>
  <c r="N151" i="1"/>
  <c r="M120" i="2"/>
  <c r="I121" i="2"/>
  <c r="L121" i="2" s="1"/>
  <c r="C102" i="2" l="1"/>
  <c r="D102" i="2"/>
  <c r="E102" i="2" s="1"/>
  <c r="F102" i="2" s="1"/>
  <c r="N154" i="1"/>
  <c r="N153" i="1" s="1"/>
  <c r="N155" i="1" s="1"/>
  <c r="R73" i="2"/>
  <c r="I122" i="2"/>
  <c r="L122" i="2" s="1"/>
  <c r="M121" i="2"/>
  <c r="C103" i="2" l="1"/>
  <c r="D103" i="2"/>
  <c r="E103" i="2" s="1"/>
  <c r="F103" i="2" s="1"/>
  <c r="S73" i="2"/>
  <c r="N157" i="1"/>
  <c r="N158" i="1" s="1"/>
  <c r="N162" i="1"/>
  <c r="N164" i="1" s="1"/>
  <c r="N166" i="1" s="1"/>
  <c r="O152" i="1"/>
  <c r="N177" i="1"/>
  <c r="N184" i="1" s="1"/>
  <c r="M122" i="2"/>
  <c r="I123" i="2"/>
  <c r="L123" i="2" s="1"/>
  <c r="C104" i="2" l="1"/>
  <c r="D104" i="2"/>
  <c r="E104" i="2" s="1"/>
  <c r="F104" i="2" s="1"/>
  <c r="N178" i="1"/>
  <c r="P74" i="2"/>
  <c r="Q74" i="2"/>
  <c r="I124" i="2"/>
  <c r="L124" i="2" s="1"/>
  <c r="M123" i="2"/>
  <c r="D105" i="2" l="1"/>
  <c r="E105" i="2" s="1"/>
  <c r="F105" i="2" s="1"/>
  <c r="C105" i="2"/>
  <c r="R74" i="2"/>
  <c r="M124" i="2"/>
  <c r="I125" i="2"/>
  <c r="L125" i="2" s="1"/>
  <c r="C106" i="2" l="1"/>
  <c r="D106" i="2"/>
  <c r="E106" i="2" s="1"/>
  <c r="F106" i="2" s="1"/>
  <c r="S74" i="2"/>
  <c r="I126" i="2"/>
  <c r="L126" i="2" s="1"/>
  <c r="M125" i="2"/>
  <c r="D107" i="2" l="1"/>
  <c r="E107" i="2" s="1"/>
  <c r="F107" i="2" s="1"/>
  <c r="C107" i="2"/>
  <c r="Q75" i="2"/>
  <c r="P75" i="2"/>
  <c r="I127" i="2"/>
  <c r="L127" i="2" s="1"/>
  <c r="M126" i="2"/>
  <c r="C108" i="2" l="1"/>
  <c r="D108" i="2"/>
  <c r="E108" i="2" s="1"/>
  <c r="F108" i="2" s="1"/>
  <c r="R75" i="2"/>
  <c r="I128" i="2"/>
  <c r="I129" i="2" s="1"/>
  <c r="M127" i="2"/>
  <c r="D109" i="2" l="1"/>
  <c r="E109" i="2" s="1"/>
  <c r="F109" i="2" s="1"/>
  <c r="C109" i="2"/>
  <c r="S75" i="2"/>
  <c r="L128" i="2"/>
  <c r="D110" i="2" l="1"/>
  <c r="E110" i="2" s="1"/>
  <c r="F110" i="2" s="1"/>
  <c r="C110" i="2"/>
  <c r="Q76" i="2"/>
  <c r="P76" i="2"/>
  <c r="I132" i="2"/>
  <c r="L132" i="2" s="1"/>
  <c r="M128" i="2"/>
  <c r="D111" i="2" l="1"/>
  <c r="E111" i="2" s="1"/>
  <c r="F111" i="2" s="1"/>
  <c r="C111" i="2"/>
  <c r="R76" i="2"/>
  <c r="I133" i="2"/>
  <c r="L133" i="2" s="1"/>
  <c r="M132" i="2"/>
  <c r="C112" i="2" l="1"/>
  <c r="D112" i="2"/>
  <c r="E112" i="2" s="1"/>
  <c r="F112" i="2" s="1"/>
  <c r="S76" i="2"/>
  <c r="M133" i="2"/>
  <c r="I134" i="2"/>
  <c r="L134" i="2" s="1"/>
  <c r="D113" i="2" l="1"/>
  <c r="D114" i="2" s="1"/>
  <c r="C113" i="2"/>
  <c r="E113" i="2"/>
  <c r="E114" i="2" s="1"/>
  <c r="P77" i="2"/>
  <c r="Q77" i="2"/>
  <c r="R77" i="2" s="1"/>
  <c r="S77" i="2" s="1"/>
  <c r="M134" i="2"/>
  <c r="I135" i="2"/>
  <c r="L135" i="2" s="1"/>
  <c r="F113" i="2" l="1"/>
  <c r="C117" i="2"/>
  <c r="D117" i="2"/>
  <c r="E117" i="2" s="1"/>
  <c r="F117" i="2" s="1"/>
  <c r="P78" i="2"/>
  <c r="Q78" i="2"/>
  <c r="R78" i="2" s="1"/>
  <c r="S78" i="2" s="1"/>
  <c r="M135" i="2"/>
  <c r="I136" i="2"/>
  <c r="C118" i="2" l="1"/>
  <c r="D118" i="2"/>
  <c r="E118" i="2" s="1"/>
  <c r="F118" i="2" s="1"/>
  <c r="Q79" i="2"/>
  <c r="R79" i="2" s="1"/>
  <c r="S79" i="2" s="1"/>
  <c r="P79" i="2"/>
  <c r="L136" i="2"/>
  <c r="D119" i="2" l="1"/>
  <c r="E119" i="2" s="1"/>
  <c r="C119" i="2"/>
  <c r="F119" i="2"/>
  <c r="P80" i="2"/>
  <c r="Q80" i="2"/>
  <c r="R80" i="2" s="1"/>
  <c r="S80" i="2" s="1"/>
  <c r="I137" i="2"/>
  <c r="L137" i="2" s="1"/>
  <c r="M136" i="2"/>
  <c r="C120" i="2" l="1"/>
  <c r="D120" i="2"/>
  <c r="E120" i="2" s="1"/>
  <c r="F120" i="2" s="1"/>
  <c r="Q81" i="2"/>
  <c r="R81" i="2" s="1"/>
  <c r="P81" i="2"/>
  <c r="S81" i="2"/>
  <c r="M137" i="2"/>
  <c r="I138" i="2"/>
  <c r="L138" i="2" s="1"/>
  <c r="C121" i="2" l="1"/>
  <c r="D121" i="2"/>
  <c r="E121" i="2" s="1"/>
  <c r="F121" i="2" s="1"/>
  <c r="P82" i="2"/>
  <c r="Q82" i="2"/>
  <c r="R82" i="2" s="1"/>
  <c r="S82" i="2" s="1"/>
  <c r="I139" i="2"/>
  <c r="L139" i="2" s="1"/>
  <c r="M138" i="2"/>
  <c r="C122" i="2" l="1"/>
  <c r="D122" i="2"/>
  <c r="E122" i="2" s="1"/>
  <c r="F122" i="2" s="1"/>
  <c r="Q83" i="2"/>
  <c r="P83" i="2"/>
  <c r="I140" i="2"/>
  <c r="L140" i="2" s="1"/>
  <c r="M139" i="2"/>
  <c r="C123" i="2" l="1"/>
  <c r="D123" i="2"/>
  <c r="E123" i="2" s="1"/>
  <c r="F123" i="2" s="1"/>
  <c r="R83" i="2"/>
  <c r="Q84" i="2"/>
  <c r="AU10" i="2" s="1"/>
  <c r="AM10" i="2" s="1"/>
  <c r="O123" i="1" s="1"/>
  <c r="I141" i="2"/>
  <c r="L141" i="2" s="1"/>
  <c r="M140" i="2"/>
  <c r="D124" i="2" l="1"/>
  <c r="E124" i="2" s="1"/>
  <c r="C124" i="2"/>
  <c r="R84" i="2"/>
  <c r="S83" i="2"/>
  <c r="M141" i="2"/>
  <c r="I142" i="2"/>
  <c r="L142" i="2" s="1"/>
  <c r="F124" i="2" l="1"/>
  <c r="AY10" i="2"/>
  <c r="AO10" i="2" s="1"/>
  <c r="AS10" i="2"/>
  <c r="P87" i="2"/>
  <c r="Q87" i="2"/>
  <c r="M142" i="2"/>
  <c r="I143" i="2"/>
  <c r="I144" i="2" s="1"/>
  <c r="C125" i="2" l="1"/>
  <c r="D125" i="2"/>
  <c r="E125" i="2" s="1"/>
  <c r="O124" i="1"/>
  <c r="O136" i="1" s="1"/>
  <c r="R87" i="2"/>
  <c r="O122" i="1"/>
  <c r="O119" i="1" s="1"/>
  <c r="AQ10" i="2"/>
  <c r="L143" i="2"/>
  <c r="M143" i="2" s="1"/>
  <c r="F125" i="2" l="1"/>
  <c r="O180" i="1"/>
  <c r="O161" i="1"/>
  <c r="O134" i="1"/>
  <c r="O129" i="1"/>
  <c r="O126" i="1"/>
  <c r="O128" i="1"/>
  <c r="S87" i="2"/>
  <c r="I147" i="2"/>
  <c r="L147" i="2" s="1"/>
  <c r="I148" i="2" s="1"/>
  <c r="L148" i="2" s="1"/>
  <c r="C126" i="2" l="1"/>
  <c r="D126" i="2"/>
  <c r="E126" i="2" s="1"/>
  <c r="O185" i="1"/>
  <c r="M147" i="2"/>
  <c r="P88" i="2"/>
  <c r="Q88" i="2"/>
  <c r="O151" i="1"/>
  <c r="I149" i="2"/>
  <c r="M148" i="2"/>
  <c r="F126" i="2" l="1"/>
  <c r="O154" i="1"/>
  <c r="O153" i="1" s="1"/>
  <c r="P152" i="1" s="1"/>
  <c r="R88" i="2"/>
  <c r="L149" i="2"/>
  <c r="D127" i="2" l="1"/>
  <c r="E127" i="2" s="1"/>
  <c r="C127" i="2"/>
  <c r="O177" i="1"/>
  <c r="O184" i="1" s="1"/>
  <c r="E186" i="1" s="1"/>
  <c r="S88" i="2"/>
  <c r="O155" i="1"/>
  <c r="M149" i="2"/>
  <c r="I150" i="2"/>
  <c r="L150" i="2" s="1"/>
  <c r="F127" i="2" l="1"/>
  <c r="O178" i="1"/>
  <c r="Q89" i="2"/>
  <c r="P89" i="2"/>
  <c r="O162" i="1"/>
  <c r="O157" i="1"/>
  <c r="O158" i="1" s="1"/>
  <c r="M150" i="2"/>
  <c r="I151" i="2"/>
  <c r="L151" i="2" s="1"/>
  <c r="C128" i="2" l="1"/>
  <c r="D128" i="2"/>
  <c r="D129" i="2" s="1"/>
  <c r="O166" i="1"/>
  <c r="O164" i="1"/>
  <c r="O165" i="1" s="1"/>
  <c r="R89" i="2"/>
  <c r="I152" i="2"/>
  <c r="L152" i="2" s="1"/>
  <c r="M151" i="2"/>
  <c r="E128" i="2" l="1"/>
  <c r="E129" i="2" s="1"/>
  <c r="S89" i="2"/>
  <c r="I153" i="2"/>
  <c r="L153" i="2" s="1"/>
  <c r="M152" i="2"/>
  <c r="F128" i="2" l="1"/>
  <c r="D132" i="2"/>
  <c r="E132" i="2" s="1"/>
  <c r="F132" i="2" s="1"/>
  <c r="C132" i="2"/>
  <c r="Q90" i="2"/>
  <c r="P90" i="2"/>
  <c r="I154" i="2"/>
  <c r="L154" i="2" s="1"/>
  <c r="M153" i="2"/>
  <c r="D133" i="2" l="1"/>
  <c r="C133" i="2"/>
  <c r="E133" i="2"/>
  <c r="F133" i="2" s="1"/>
  <c r="R90" i="2"/>
  <c r="I155" i="2"/>
  <c r="L155" i="2" s="1"/>
  <c r="M154" i="2"/>
  <c r="D134" i="2" l="1"/>
  <c r="E134" i="2" s="1"/>
  <c r="F134" i="2" s="1"/>
  <c r="C134" i="2"/>
  <c r="S90" i="2"/>
  <c r="I156" i="2"/>
  <c r="L156" i="2" s="1"/>
  <c r="M155" i="2"/>
  <c r="C135" i="2" l="1"/>
  <c r="D135" i="2"/>
  <c r="E135" i="2" s="1"/>
  <c r="F135" i="2" s="1"/>
  <c r="Q91" i="2"/>
  <c r="P91" i="2"/>
  <c r="M156" i="2"/>
  <c r="I157" i="2"/>
  <c r="L157" i="2" s="1"/>
  <c r="D136" i="2" l="1"/>
  <c r="E136" i="2" s="1"/>
  <c r="F136" i="2" s="1"/>
  <c r="C136" i="2"/>
  <c r="R91" i="2"/>
  <c r="I158" i="2"/>
  <c r="I159" i="2" s="1"/>
  <c r="M157" i="2"/>
  <c r="D137" i="2" l="1"/>
  <c r="E137" i="2" s="1"/>
  <c r="F137" i="2" s="1"/>
  <c r="C137" i="2"/>
  <c r="L158" i="2"/>
  <c r="M158" i="2" s="1"/>
  <c r="S91" i="2"/>
  <c r="D138" i="2" l="1"/>
  <c r="E138" i="2" s="1"/>
  <c r="F138" i="2" s="1"/>
  <c r="C138" i="2"/>
  <c r="I162" i="2"/>
  <c r="L162" i="2" s="1"/>
  <c r="Q92" i="2"/>
  <c r="R92" i="2" s="1"/>
  <c r="S92" i="2" s="1"/>
  <c r="P92" i="2"/>
  <c r="C139" i="2" l="1"/>
  <c r="D139" i="2"/>
  <c r="E139" i="2" s="1"/>
  <c r="F139" i="2" s="1"/>
  <c r="I163" i="2"/>
  <c r="L163" i="2" s="1"/>
  <c r="I164" i="2" s="1"/>
  <c r="L164" i="2" s="1"/>
  <c r="M162" i="2"/>
  <c r="Q93" i="2"/>
  <c r="R93" i="2" s="1"/>
  <c r="S93" i="2" s="1"/>
  <c r="P93" i="2"/>
  <c r="C140" i="2" l="1"/>
  <c r="D140" i="2"/>
  <c r="E140" i="2" s="1"/>
  <c r="F140" i="2" s="1"/>
  <c r="M163" i="2"/>
  <c r="P94" i="2"/>
  <c r="Q94" i="2"/>
  <c r="R94" i="2" s="1"/>
  <c r="S94" i="2" s="1"/>
  <c r="M164" i="2"/>
  <c r="I165" i="2"/>
  <c r="L165" i="2" s="1"/>
  <c r="C141" i="2" l="1"/>
  <c r="D141" i="2"/>
  <c r="E141" i="2" s="1"/>
  <c r="F141" i="2" s="1"/>
  <c r="Q95" i="2"/>
  <c r="R95" i="2" s="1"/>
  <c r="S95" i="2" s="1"/>
  <c r="P95" i="2"/>
  <c r="M165" i="2"/>
  <c r="I166" i="2"/>
  <c r="L166" i="2" s="1"/>
  <c r="D142" i="2" l="1"/>
  <c r="E142" i="2" s="1"/>
  <c r="F142" i="2" s="1"/>
  <c r="C142" i="2"/>
  <c r="Q96" i="2"/>
  <c r="R96" i="2" s="1"/>
  <c r="S96" i="2" s="1"/>
  <c r="P96" i="2"/>
  <c r="I167" i="2"/>
  <c r="L167" i="2" s="1"/>
  <c r="M166" i="2"/>
  <c r="D143" i="2" l="1"/>
  <c r="D144" i="2" s="1"/>
  <c r="C143" i="2"/>
  <c r="P97" i="2"/>
  <c r="Q97" i="2"/>
  <c r="R97" i="2" s="1"/>
  <c r="S97" i="2" s="1"/>
  <c r="I168" i="2"/>
  <c r="L168" i="2" s="1"/>
  <c r="M167" i="2"/>
  <c r="E143" i="2" l="1"/>
  <c r="Q98" i="2"/>
  <c r="P98" i="2"/>
  <c r="M168" i="2"/>
  <c r="I169" i="2"/>
  <c r="L169" i="2" s="1"/>
  <c r="E144" i="2" l="1"/>
  <c r="F143" i="2"/>
  <c r="R98" i="2"/>
  <c r="Q99" i="2"/>
  <c r="AU11" i="2" s="1"/>
  <c r="AM11" i="2" s="1"/>
  <c r="P123" i="1" s="1"/>
  <c r="I170" i="2"/>
  <c r="L170" i="2" s="1"/>
  <c r="M169" i="2"/>
  <c r="C147" i="2" l="1"/>
  <c r="D147" i="2"/>
  <c r="E147" i="2" s="1"/>
  <c r="F147" i="2" s="1"/>
  <c r="R99" i="2"/>
  <c r="S98" i="2"/>
  <c r="I171" i="2"/>
  <c r="L171" i="2" s="1"/>
  <c r="M170" i="2"/>
  <c r="C148" i="2" l="1"/>
  <c r="D148" i="2"/>
  <c r="E148" i="2" s="1"/>
  <c r="F148" i="2" s="1"/>
  <c r="P102" i="2"/>
  <c r="Q102" i="2"/>
  <c r="AY11" i="2"/>
  <c r="AO11" i="2" s="1"/>
  <c r="AS11" i="2"/>
  <c r="P124" i="1" s="1"/>
  <c r="I172" i="2"/>
  <c r="L172" i="2" s="1"/>
  <c r="M171" i="2"/>
  <c r="C149" i="2" l="1"/>
  <c r="D149" i="2"/>
  <c r="E149" i="2" s="1"/>
  <c r="F149" i="2" s="1"/>
  <c r="P122" i="1"/>
  <c r="P119" i="1" s="1"/>
  <c r="AQ11" i="2"/>
  <c r="R102" i="2"/>
  <c r="I173" i="2"/>
  <c r="I174" i="2" s="1"/>
  <c r="M172" i="2"/>
  <c r="C150" i="2" l="1"/>
  <c r="D150" i="2"/>
  <c r="E150" i="2" s="1"/>
  <c r="F150" i="2" s="1"/>
  <c r="S102" i="2"/>
  <c r="P129" i="1"/>
  <c r="P126" i="1"/>
  <c r="P134" i="1"/>
  <c r="P128" i="1"/>
  <c r="L173" i="2"/>
  <c r="D151" i="2" l="1"/>
  <c r="E151" i="2" s="1"/>
  <c r="F151" i="2" s="1"/>
  <c r="C151" i="2"/>
  <c r="P151" i="1"/>
  <c r="Q103" i="2"/>
  <c r="P103" i="2"/>
  <c r="M173" i="2"/>
  <c r="I177" i="2"/>
  <c r="L177" i="2" s="1"/>
  <c r="C152" i="2" l="1"/>
  <c r="D152" i="2"/>
  <c r="E152" i="2" s="1"/>
  <c r="F152" i="2" s="1"/>
  <c r="R103" i="2"/>
  <c r="P154" i="1"/>
  <c r="P153" i="1" s="1"/>
  <c r="P155" i="1" s="1"/>
  <c r="I178" i="2"/>
  <c r="L178" i="2" s="1"/>
  <c r="M177" i="2"/>
  <c r="C153" i="2" l="1"/>
  <c r="D153" i="2"/>
  <c r="E153" i="2" s="1"/>
  <c r="F153" i="2" s="1"/>
  <c r="P157" i="1"/>
  <c r="P158" i="1" s="1"/>
  <c r="P162" i="1"/>
  <c r="Q152" i="1"/>
  <c r="P177" i="1"/>
  <c r="P184" i="1" s="1"/>
  <c r="S103" i="2"/>
  <c r="I179" i="2"/>
  <c r="M178" i="2"/>
  <c r="C154" i="2" l="1"/>
  <c r="D154" i="2"/>
  <c r="E154" i="2" s="1"/>
  <c r="F154" i="2" s="1"/>
  <c r="P178" i="1"/>
  <c r="Q104" i="2"/>
  <c r="P104" i="2"/>
  <c r="P166" i="1"/>
  <c r="P164" i="1"/>
  <c r="L179" i="2"/>
  <c r="C155" i="2" l="1"/>
  <c r="D155" i="2"/>
  <c r="E155" i="2" s="1"/>
  <c r="F155" i="2" s="1"/>
  <c r="R104" i="2"/>
  <c r="M179" i="2"/>
  <c r="I180" i="2"/>
  <c r="L180" i="2" s="1"/>
  <c r="C156" i="2" l="1"/>
  <c r="D156" i="2"/>
  <c r="E156" i="2" s="1"/>
  <c r="F156" i="2" s="1"/>
  <c r="S104" i="2"/>
  <c r="M180" i="2"/>
  <c r="I181" i="2"/>
  <c r="L181" i="2" s="1"/>
  <c r="D157" i="2" l="1"/>
  <c r="E157" i="2" s="1"/>
  <c r="F157" i="2" s="1"/>
  <c r="C157" i="2"/>
  <c r="Q105" i="2"/>
  <c r="P105" i="2"/>
  <c r="I182" i="2"/>
  <c r="L182" i="2" s="1"/>
  <c r="M181" i="2"/>
  <c r="C158" i="2" l="1"/>
  <c r="D158" i="2"/>
  <c r="D159" i="2" s="1"/>
  <c r="R105" i="2"/>
  <c r="M182" i="2"/>
  <c r="I183" i="2"/>
  <c r="L183" i="2" s="1"/>
  <c r="E158" i="2" l="1"/>
  <c r="S105" i="2"/>
  <c r="M183" i="2"/>
  <c r="I184" i="2"/>
  <c r="L184" i="2" s="1"/>
  <c r="E159" i="2" l="1"/>
  <c r="F158" i="2"/>
  <c r="Q106" i="2"/>
  <c r="P106" i="2"/>
  <c r="I185" i="2"/>
  <c r="L185" i="2" s="1"/>
  <c r="M184" i="2"/>
  <c r="D162" i="2" l="1"/>
  <c r="E162" i="2" s="1"/>
  <c r="F162" i="2" s="1"/>
  <c r="C162" i="2"/>
  <c r="R106" i="2"/>
  <c r="I186" i="2"/>
  <c r="L186" i="2" s="1"/>
  <c r="M185" i="2"/>
  <c r="C163" i="2" l="1"/>
  <c r="D163" i="2"/>
  <c r="E163" i="2" s="1"/>
  <c r="F163" i="2" s="1"/>
  <c r="S106" i="2"/>
  <c r="M186" i="2"/>
  <c r="I187" i="2"/>
  <c r="L187" i="2" s="1"/>
  <c r="C164" i="2" l="1"/>
  <c r="D164" i="2"/>
  <c r="E164" i="2" s="1"/>
  <c r="F164" i="2" s="1"/>
  <c r="P107" i="2"/>
  <c r="Q107" i="2"/>
  <c r="R107" i="2" s="1"/>
  <c r="S107" i="2" s="1"/>
  <c r="M187" i="2"/>
  <c r="I188" i="2"/>
  <c r="I189" i="2" s="1"/>
  <c r="C165" i="2" l="1"/>
  <c r="D165" i="2"/>
  <c r="E165" i="2" s="1"/>
  <c r="F165" i="2" s="1"/>
  <c r="Q108" i="2"/>
  <c r="R108" i="2" s="1"/>
  <c r="S108" i="2" s="1"/>
  <c r="P108" i="2"/>
  <c r="L188" i="2"/>
  <c r="P109" i="2" l="1"/>
  <c r="Q109" i="2"/>
  <c r="R109" i="2" s="1"/>
  <c r="S109" i="2" s="1"/>
  <c r="D166" i="2"/>
  <c r="E166" i="2" s="1"/>
  <c r="F166" i="2" s="1"/>
  <c r="C166" i="2"/>
  <c r="I192" i="2"/>
  <c r="L192" i="2" s="1"/>
  <c r="M188" i="2"/>
  <c r="P110" i="2" l="1"/>
  <c r="Q110" i="2"/>
  <c r="R110" i="2" s="1"/>
  <c r="S110" i="2" s="1"/>
  <c r="C167" i="2"/>
  <c r="D167" i="2"/>
  <c r="E167" i="2" s="1"/>
  <c r="F167" i="2" s="1"/>
  <c r="M192" i="2"/>
  <c r="I193" i="2"/>
  <c r="P111" i="2" l="1"/>
  <c r="Q111" i="2"/>
  <c r="R111" i="2" s="1"/>
  <c r="S111" i="2" s="1"/>
  <c r="D168" i="2"/>
  <c r="E168" i="2" s="1"/>
  <c r="F168" i="2" s="1"/>
  <c r="C168" i="2"/>
  <c r="L193" i="2"/>
  <c r="Q112" i="2" l="1"/>
  <c r="R112" i="2" s="1"/>
  <c r="S112" i="2" s="1"/>
  <c r="P112" i="2"/>
  <c r="D169" i="2"/>
  <c r="E169" i="2" s="1"/>
  <c r="F169" i="2" s="1"/>
  <c r="C169" i="2"/>
  <c r="I194" i="2"/>
  <c r="L194" i="2" s="1"/>
  <c r="M193" i="2"/>
  <c r="P113" i="2" l="1"/>
  <c r="Q113" i="2"/>
  <c r="M194" i="2"/>
  <c r="I195" i="2"/>
  <c r="L195" i="2" s="1"/>
  <c r="D170" i="2"/>
  <c r="E170" i="2" s="1"/>
  <c r="F170" i="2" s="1"/>
  <c r="C170" i="2"/>
  <c r="R113" i="2" l="1"/>
  <c r="Q114" i="2"/>
  <c r="AU12" i="2" s="1"/>
  <c r="AM12" i="2" s="1"/>
  <c r="Q123" i="1" s="1"/>
  <c r="C171" i="2"/>
  <c r="D171" i="2"/>
  <c r="E171" i="2" s="1"/>
  <c r="F171" i="2" s="1"/>
  <c r="M195" i="2"/>
  <c r="I196" i="2"/>
  <c r="L196" i="2" s="1"/>
  <c r="R114" i="2" l="1"/>
  <c r="S113" i="2"/>
  <c r="I197" i="2"/>
  <c r="L197" i="2" s="1"/>
  <c r="M196" i="2"/>
  <c r="D172" i="2"/>
  <c r="E172" i="2" s="1"/>
  <c r="F172" i="2" s="1"/>
  <c r="C172" i="2"/>
  <c r="Q117" i="2" l="1"/>
  <c r="P117" i="2"/>
  <c r="AY12" i="2"/>
  <c r="AO12" i="2" s="1"/>
  <c r="AS12" i="2"/>
  <c r="Q124" i="1" s="1"/>
  <c r="I198" i="2"/>
  <c r="L198" i="2" s="1"/>
  <c r="M197" i="2"/>
  <c r="C173" i="2"/>
  <c r="D173" i="2"/>
  <c r="D174" i="2" s="1"/>
  <c r="Q122" i="1" l="1"/>
  <c r="Q119" i="1" s="1"/>
  <c r="AQ12" i="2"/>
  <c r="R117" i="2"/>
  <c r="M198" i="2"/>
  <c r="I199" i="2"/>
  <c r="L199" i="2" s="1"/>
  <c r="E173" i="2"/>
  <c r="S117" i="2" l="1"/>
  <c r="Q129" i="1"/>
  <c r="Q134" i="1"/>
  <c r="Q126" i="1"/>
  <c r="Q128" i="1"/>
  <c r="I200" i="2"/>
  <c r="L200" i="2" s="1"/>
  <c r="M199" i="2"/>
  <c r="E174" i="2"/>
  <c r="F173" i="2"/>
  <c r="P118" i="2" l="1"/>
  <c r="Q118" i="2"/>
  <c r="Q151" i="1"/>
  <c r="C177" i="2"/>
  <c r="D177" i="2"/>
  <c r="I201" i="2"/>
  <c r="L201" i="2" s="1"/>
  <c r="M200" i="2"/>
  <c r="Q154" i="1" l="1"/>
  <c r="Q153" i="1" s="1"/>
  <c r="Q155" i="1" s="1"/>
  <c r="R118" i="2"/>
  <c r="M201" i="2"/>
  <c r="I202" i="2"/>
  <c r="L202" i="2" s="1"/>
  <c r="E177" i="2"/>
  <c r="Q162" i="1" l="1"/>
  <c r="Q157" i="1"/>
  <c r="Q158" i="1" s="1"/>
  <c r="S118" i="2"/>
  <c r="R152" i="1"/>
  <c r="Q177" i="1"/>
  <c r="Q184" i="1" s="1"/>
  <c r="I203" i="2"/>
  <c r="I204" i="2" s="1"/>
  <c r="M202" i="2"/>
  <c r="F177" i="2"/>
  <c r="Q178" i="1" l="1"/>
  <c r="L203" i="2"/>
  <c r="I207" i="2" s="1"/>
  <c r="L207" i="2" s="1"/>
  <c r="Q119" i="2"/>
  <c r="P119" i="2"/>
  <c r="Q164" i="1"/>
  <c r="Q166" i="1"/>
  <c r="D178" i="2"/>
  <c r="E178" i="2" s="1"/>
  <c r="F178" i="2" s="1"/>
  <c r="C178" i="2"/>
  <c r="M203" i="2" l="1"/>
  <c r="R119" i="2"/>
  <c r="M207" i="2"/>
  <c r="I208" i="2"/>
  <c r="C179" i="2"/>
  <c r="D179" i="2"/>
  <c r="S119" i="2" l="1"/>
  <c r="E179" i="2"/>
  <c r="L208" i="2"/>
  <c r="P120" i="2" l="1"/>
  <c r="Q120" i="2"/>
  <c r="F179" i="2"/>
  <c r="I209" i="2"/>
  <c r="L209" i="2" s="1"/>
  <c r="M208" i="2"/>
  <c r="R120" i="2" l="1"/>
  <c r="M209" i="2"/>
  <c r="I210" i="2"/>
  <c r="L210" i="2" s="1"/>
  <c r="D180" i="2"/>
  <c r="E180" i="2" s="1"/>
  <c r="C180" i="2"/>
  <c r="S120" i="2" l="1"/>
  <c r="F180" i="2"/>
  <c r="I211" i="2"/>
  <c r="L211" i="2" s="1"/>
  <c r="M210" i="2"/>
  <c r="P121" i="2" l="1"/>
  <c r="Q121" i="2"/>
  <c r="M211" i="2"/>
  <c r="I212" i="2"/>
  <c r="L212" i="2" s="1"/>
  <c r="C181" i="2"/>
  <c r="D181" i="2"/>
  <c r="E181" i="2" s="1"/>
  <c r="F181" i="2" s="1"/>
  <c r="R121" i="2" l="1"/>
  <c r="C182" i="2"/>
  <c r="D182" i="2"/>
  <c r="E182" i="2" s="1"/>
  <c r="F182" i="2" s="1"/>
  <c r="M212" i="2"/>
  <c r="I213" i="2"/>
  <c r="L213" i="2" s="1"/>
  <c r="S121" i="2" l="1"/>
  <c r="M213" i="2"/>
  <c r="I214" i="2"/>
  <c r="L214" i="2" s="1"/>
  <c r="D183" i="2"/>
  <c r="E183" i="2" s="1"/>
  <c r="F183" i="2" s="1"/>
  <c r="C183" i="2"/>
  <c r="Q122" i="2" l="1"/>
  <c r="R122" i="2" s="1"/>
  <c r="S122" i="2" s="1"/>
  <c r="P122" i="2"/>
  <c r="D184" i="2"/>
  <c r="E184" i="2" s="1"/>
  <c r="F184" i="2" s="1"/>
  <c r="C184" i="2"/>
  <c r="I215" i="2"/>
  <c r="L215" i="2" s="1"/>
  <c r="M214" i="2"/>
  <c r="P123" i="2" l="1"/>
  <c r="Q123" i="2"/>
  <c r="R123" i="2" s="1"/>
  <c r="S123" i="2" s="1"/>
  <c r="C185" i="2"/>
  <c r="D185" i="2"/>
  <c r="E185" i="2" s="1"/>
  <c r="F185" i="2" s="1"/>
  <c r="I216" i="2"/>
  <c r="L216" i="2" s="1"/>
  <c r="M215" i="2"/>
  <c r="P124" i="2" l="1"/>
  <c r="Q124" i="2"/>
  <c r="R124" i="2" s="1"/>
  <c r="S124" i="2" s="1"/>
  <c r="M216" i="2"/>
  <c r="I217" i="2"/>
  <c r="L217" i="2" s="1"/>
  <c r="D186" i="2"/>
  <c r="E186" i="2" s="1"/>
  <c r="F186" i="2" s="1"/>
  <c r="C186" i="2"/>
  <c r="P125" i="2" l="1"/>
  <c r="Q125" i="2"/>
  <c r="R125" i="2" s="1"/>
  <c r="S125" i="2" s="1"/>
  <c r="D187" i="2"/>
  <c r="E187" i="2" s="1"/>
  <c r="F187" i="2" s="1"/>
  <c r="C187" i="2"/>
  <c r="I218" i="2"/>
  <c r="I219" i="2" s="1"/>
  <c r="M217" i="2"/>
  <c r="Q126" i="2" l="1"/>
  <c r="R126" i="2" s="1"/>
  <c r="S126" i="2" s="1"/>
  <c r="P126" i="2"/>
  <c r="L218" i="2"/>
  <c r="I222" i="2" s="1"/>
  <c r="D188" i="2"/>
  <c r="D189" i="2" s="1"/>
  <c r="C188" i="2"/>
  <c r="M218" i="2" l="1"/>
  <c r="L222" i="2"/>
  <c r="I223" i="2" s="1"/>
  <c r="P127" i="2"/>
  <c r="Q127" i="2"/>
  <c r="R127" i="2" s="1"/>
  <c r="S127" i="2" s="1"/>
  <c r="E188" i="2"/>
  <c r="M222" i="2" l="1"/>
  <c r="P128" i="2"/>
  <c r="Q128" i="2"/>
  <c r="E189" i="2"/>
  <c r="F188" i="2"/>
  <c r="L223" i="2"/>
  <c r="R128" i="2" l="1"/>
  <c r="Q129" i="2"/>
  <c r="AU13" i="2" s="1"/>
  <c r="AM13" i="2" s="1"/>
  <c r="R123" i="1" s="1"/>
  <c r="C192" i="2"/>
  <c r="D192" i="2"/>
  <c r="E192" i="2" s="1"/>
  <c r="F192" i="2" s="1"/>
  <c r="M223" i="2"/>
  <c r="I224" i="2"/>
  <c r="L224" i="2" s="1"/>
  <c r="R129" i="2" l="1"/>
  <c r="S128" i="2"/>
  <c r="M224" i="2"/>
  <c r="I225" i="2"/>
  <c r="L225" i="2" s="1"/>
  <c r="C193" i="2"/>
  <c r="D193" i="2"/>
  <c r="E193" i="2" s="1"/>
  <c r="F193" i="2" s="1"/>
  <c r="Q132" i="2" l="1"/>
  <c r="P132" i="2"/>
  <c r="AY13" i="2"/>
  <c r="AO13" i="2" s="1"/>
  <c r="AS13" i="2"/>
  <c r="R124" i="1" s="1"/>
  <c r="M225" i="2"/>
  <c r="I226" i="2"/>
  <c r="L226" i="2" s="1"/>
  <c r="D194" i="2"/>
  <c r="E194" i="2" s="1"/>
  <c r="C194" i="2"/>
  <c r="R122" i="1" l="1"/>
  <c r="R119" i="1" s="1"/>
  <c r="AQ13" i="2"/>
  <c r="R132" i="2"/>
  <c r="I227" i="2"/>
  <c r="L227" i="2" s="1"/>
  <c r="M226" i="2"/>
  <c r="F194" i="2"/>
  <c r="S132" i="2" l="1"/>
  <c r="R134" i="1"/>
  <c r="R128" i="1"/>
  <c r="R126" i="1"/>
  <c r="R129" i="1"/>
  <c r="I228" i="2"/>
  <c r="L228" i="2" s="1"/>
  <c r="M227" i="2"/>
  <c r="D195" i="2"/>
  <c r="E195" i="2" s="1"/>
  <c r="F195" i="2" s="1"/>
  <c r="C195" i="2"/>
  <c r="R151" i="1" l="1"/>
  <c r="P133" i="2"/>
  <c r="Q133" i="2"/>
  <c r="C196" i="2"/>
  <c r="D196" i="2"/>
  <c r="E196" i="2" s="1"/>
  <c r="F196" i="2" s="1"/>
  <c r="I229" i="2"/>
  <c r="L229" i="2" s="1"/>
  <c r="M228" i="2"/>
  <c r="R133" i="2" l="1"/>
  <c r="R154" i="1"/>
  <c r="R153" i="1" s="1"/>
  <c r="R155" i="1" s="1"/>
  <c r="D197" i="2"/>
  <c r="E197" i="2" s="1"/>
  <c r="F197" i="2" s="1"/>
  <c r="C197" i="2"/>
  <c r="M229" i="2"/>
  <c r="I230" i="2"/>
  <c r="L230" i="2" s="1"/>
  <c r="R162" i="1" l="1"/>
  <c r="R157" i="1"/>
  <c r="R158" i="1" s="1"/>
  <c r="S152" i="1"/>
  <c r="R177" i="1"/>
  <c r="R184" i="1" s="1"/>
  <c r="S133" i="2"/>
  <c r="M230" i="2"/>
  <c r="I231" i="2"/>
  <c r="L231" i="2" s="1"/>
  <c r="C198" i="2"/>
  <c r="D198" i="2"/>
  <c r="E198" i="2" s="1"/>
  <c r="F198" i="2" s="1"/>
  <c r="R178" i="1" l="1"/>
  <c r="P134" i="2"/>
  <c r="Q134" i="2"/>
  <c r="R166" i="1"/>
  <c r="R164" i="1"/>
  <c r="C199" i="2"/>
  <c r="D199" i="2"/>
  <c r="E199" i="2" s="1"/>
  <c r="F199" i="2" s="1"/>
  <c r="M231" i="2"/>
  <c r="I232" i="2"/>
  <c r="L232" i="2" s="1"/>
  <c r="R134" i="2" l="1"/>
  <c r="M232" i="2"/>
  <c r="I233" i="2"/>
  <c r="I234" i="2" s="1"/>
  <c r="C200" i="2"/>
  <c r="D200" i="2"/>
  <c r="E200" i="2" s="1"/>
  <c r="F200" i="2" s="1"/>
  <c r="L233" i="2" l="1"/>
  <c r="I237" i="2" s="1"/>
  <c r="S134" i="2"/>
  <c r="C201" i="2"/>
  <c r="D201" i="2"/>
  <c r="E201" i="2" s="1"/>
  <c r="F201" i="2" s="1"/>
  <c r="M233" i="2" l="1"/>
  <c r="P135" i="2"/>
  <c r="Q135" i="2"/>
  <c r="C202" i="2"/>
  <c r="D202" i="2"/>
  <c r="E202" i="2" s="1"/>
  <c r="F202" i="2" s="1"/>
  <c r="L237" i="2"/>
  <c r="R135" i="2" l="1"/>
  <c r="D203" i="2"/>
  <c r="D204" i="2" s="1"/>
  <c r="C203" i="2"/>
  <c r="M237" i="2"/>
  <c r="I238" i="2"/>
  <c r="L238" i="2" s="1"/>
  <c r="E203" i="2" l="1"/>
  <c r="E204" i="2" s="1"/>
  <c r="S135" i="2"/>
  <c r="I239" i="2"/>
  <c r="L239" i="2" s="1"/>
  <c r="M238" i="2"/>
  <c r="F203" i="2" l="1"/>
  <c r="C207" i="2" s="1"/>
  <c r="Q136" i="2"/>
  <c r="P136" i="2"/>
  <c r="I240" i="2"/>
  <c r="L240" i="2" s="1"/>
  <c r="M239" i="2"/>
  <c r="D207" i="2" l="1"/>
  <c r="E207" i="2" s="1"/>
  <c r="F207" i="2" s="1"/>
  <c r="R136" i="2"/>
  <c r="M240" i="2"/>
  <c r="I241" i="2"/>
  <c r="L241" i="2" s="1"/>
  <c r="S136" i="2" l="1"/>
  <c r="I242" i="2"/>
  <c r="L242" i="2" s="1"/>
  <c r="M241" i="2"/>
  <c r="D208" i="2"/>
  <c r="E208" i="2" s="1"/>
  <c r="F208" i="2" s="1"/>
  <c r="C208" i="2"/>
  <c r="P137" i="2" l="1"/>
  <c r="Q137" i="2"/>
  <c r="R137" i="2" s="1"/>
  <c r="S137" i="2" s="1"/>
  <c r="C209" i="2"/>
  <c r="D209" i="2"/>
  <c r="E209" i="2" s="1"/>
  <c r="I243" i="2"/>
  <c r="L243" i="2" s="1"/>
  <c r="M242" i="2"/>
  <c r="Q138" i="2" l="1"/>
  <c r="R138" i="2" s="1"/>
  <c r="P138" i="2"/>
  <c r="S138" i="2"/>
  <c r="I244" i="2"/>
  <c r="L244" i="2" s="1"/>
  <c r="M243" i="2"/>
  <c r="F209" i="2"/>
  <c r="P139" i="2" l="1"/>
  <c r="Q139" i="2"/>
  <c r="R139" i="2" s="1"/>
  <c r="S139" i="2" s="1"/>
  <c r="M244" i="2"/>
  <c r="I245" i="2"/>
  <c r="L245" i="2" s="1"/>
  <c r="D210" i="2"/>
  <c r="E210" i="2" s="1"/>
  <c r="C210" i="2"/>
  <c r="Q140" i="2" l="1"/>
  <c r="R140" i="2" s="1"/>
  <c r="S140" i="2" s="1"/>
  <c r="P140" i="2"/>
  <c r="F210" i="2"/>
  <c r="I246" i="2"/>
  <c r="L246" i="2" s="1"/>
  <c r="M245" i="2"/>
  <c r="P141" i="2" l="1"/>
  <c r="Q141" i="2"/>
  <c r="R141" i="2" s="1"/>
  <c r="S141" i="2" s="1"/>
  <c r="I247" i="2"/>
  <c r="L247" i="2" s="1"/>
  <c r="M246" i="2"/>
  <c r="D211" i="2"/>
  <c r="E211" i="2" s="1"/>
  <c r="F211" i="2" s="1"/>
  <c r="C211" i="2"/>
  <c r="P142" i="2" l="1"/>
  <c r="Q142" i="2"/>
  <c r="R142" i="2" s="1"/>
  <c r="S142" i="2" s="1"/>
  <c r="M247" i="2"/>
  <c r="I248" i="2"/>
  <c r="I249" i="2" s="1"/>
  <c r="C212" i="2"/>
  <c r="D212" i="2"/>
  <c r="E212" i="2" s="1"/>
  <c r="F212" i="2" s="1"/>
  <c r="L248" i="2" l="1"/>
  <c r="M248" i="2" s="1"/>
  <c r="Q143" i="2"/>
  <c r="P143" i="2"/>
  <c r="D213" i="2"/>
  <c r="E213" i="2" s="1"/>
  <c r="F213" i="2" s="1"/>
  <c r="C213" i="2"/>
  <c r="I252" i="2" l="1"/>
  <c r="L252" i="2" s="1"/>
  <c r="R143" i="2"/>
  <c r="Q144" i="2"/>
  <c r="AU14" i="2" s="1"/>
  <c r="AM14" i="2" s="1"/>
  <c r="S123" i="1" s="1"/>
  <c r="D214" i="2"/>
  <c r="E214" i="2" s="1"/>
  <c r="F214" i="2" s="1"/>
  <c r="C214" i="2"/>
  <c r="R144" i="2" l="1"/>
  <c r="S143" i="2"/>
  <c r="C215" i="2"/>
  <c r="D215" i="2"/>
  <c r="E215" i="2" s="1"/>
  <c r="F215" i="2" s="1"/>
  <c r="M252" i="2"/>
  <c r="I253" i="2"/>
  <c r="L253" i="2" s="1"/>
  <c r="P147" i="2" l="1"/>
  <c r="Q147" i="2"/>
  <c r="AS14" i="2"/>
  <c r="S124" i="1" s="1"/>
  <c r="AY14" i="2"/>
  <c r="AO14" i="2" s="1"/>
  <c r="M253" i="2"/>
  <c r="I254" i="2"/>
  <c r="L254" i="2" s="1"/>
  <c r="D216" i="2"/>
  <c r="E216" i="2" s="1"/>
  <c r="F216" i="2" s="1"/>
  <c r="C216" i="2"/>
  <c r="S122" i="1" l="1"/>
  <c r="S119" i="1" s="1"/>
  <c r="AQ14" i="2"/>
  <c r="R147" i="2"/>
  <c r="D217" i="2"/>
  <c r="E217" i="2" s="1"/>
  <c r="F217" i="2" s="1"/>
  <c r="C217" i="2"/>
  <c r="M254" i="2"/>
  <c r="I255" i="2"/>
  <c r="S147" i="2" l="1"/>
  <c r="S134" i="1"/>
  <c r="S126" i="1"/>
  <c r="S129" i="1"/>
  <c r="S128" i="1"/>
  <c r="D218" i="2"/>
  <c r="D219" i="2" s="1"/>
  <c r="C218" i="2"/>
  <c r="L255" i="2"/>
  <c r="P148" i="2" l="1"/>
  <c r="Q148" i="2"/>
  <c r="S151" i="1"/>
  <c r="E218" i="2"/>
  <c r="E219" i="2" s="1"/>
  <c r="M255" i="2"/>
  <c r="I256" i="2"/>
  <c r="L256" i="2" s="1"/>
  <c r="R148" i="2" l="1"/>
  <c r="F218" i="2"/>
  <c r="D222" i="2" s="1"/>
  <c r="E222" i="2" s="1"/>
  <c r="F222" i="2" s="1"/>
  <c r="S154" i="1"/>
  <c r="S153" i="1" s="1"/>
  <c r="I257" i="2"/>
  <c r="L257" i="2" s="1"/>
  <c r="M256" i="2"/>
  <c r="C222" i="2" l="1"/>
  <c r="T152" i="1"/>
  <c r="S177" i="1"/>
  <c r="S184" i="1" s="1"/>
  <c r="S155" i="1"/>
  <c r="S148" i="2"/>
  <c r="C223" i="2"/>
  <c r="D223" i="2"/>
  <c r="E223" i="2" s="1"/>
  <c r="I258" i="2"/>
  <c r="L258" i="2" s="1"/>
  <c r="M257" i="2"/>
  <c r="S178" i="1" l="1"/>
  <c r="S157" i="1"/>
  <c r="S158" i="1" s="1"/>
  <c r="S162" i="1"/>
  <c r="P149" i="2"/>
  <c r="Q149" i="2"/>
  <c r="F223" i="2"/>
  <c r="M258" i="2"/>
  <c r="I259" i="2"/>
  <c r="L259" i="2" s="1"/>
  <c r="S164" i="1" l="1"/>
  <c r="S166" i="1"/>
  <c r="R149" i="2"/>
  <c r="I260" i="2"/>
  <c r="L260" i="2" s="1"/>
  <c r="M259" i="2"/>
  <c r="D224" i="2"/>
  <c r="E224" i="2" s="1"/>
  <c r="C224" i="2"/>
  <c r="S149" i="2" l="1"/>
  <c r="F224" i="2"/>
  <c r="M260" i="2"/>
  <c r="I261" i="2"/>
  <c r="L261" i="2" s="1"/>
  <c r="Q150" i="2" l="1"/>
  <c r="P150" i="2"/>
  <c r="I262" i="2"/>
  <c r="L262" i="2" s="1"/>
  <c r="M261" i="2"/>
  <c r="C225" i="2"/>
  <c r="D225" i="2"/>
  <c r="R150" i="2" l="1"/>
  <c r="I263" i="2"/>
  <c r="I264" i="2" s="1"/>
  <c r="M262" i="2"/>
  <c r="E225" i="2"/>
  <c r="L263" i="2" l="1"/>
  <c r="I267" i="2" s="1"/>
  <c r="S150" i="2"/>
  <c r="F225" i="2"/>
  <c r="M263" i="2" l="1"/>
  <c r="Q151" i="2"/>
  <c r="P151" i="2"/>
  <c r="D226" i="2"/>
  <c r="E226" i="2" s="1"/>
  <c r="F226" i="2" s="1"/>
  <c r="C226" i="2"/>
  <c r="L267" i="2"/>
  <c r="R151" i="2" l="1"/>
  <c r="D227" i="2"/>
  <c r="E227" i="2" s="1"/>
  <c r="F227" i="2" s="1"/>
  <c r="C227" i="2"/>
  <c r="M267" i="2"/>
  <c r="I268" i="2"/>
  <c r="S151" i="2" l="1"/>
  <c r="D228" i="2"/>
  <c r="E228" i="2" s="1"/>
  <c r="F228" i="2" s="1"/>
  <c r="C228" i="2"/>
  <c r="L268" i="2"/>
  <c r="Q152" i="2" l="1"/>
  <c r="R152" i="2" s="1"/>
  <c r="S152" i="2" s="1"/>
  <c r="P152" i="2"/>
  <c r="D229" i="2"/>
  <c r="E229" i="2" s="1"/>
  <c r="F229" i="2" s="1"/>
  <c r="C229" i="2"/>
  <c r="I269" i="2"/>
  <c r="L269" i="2" s="1"/>
  <c r="M268" i="2"/>
  <c r="Q153" i="2" l="1"/>
  <c r="R153" i="2" s="1"/>
  <c r="S153" i="2" s="1"/>
  <c r="P153" i="2"/>
  <c r="I270" i="2"/>
  <c r="L270" i="2" s="1"/>
  <c r="M269" i="2"/>
  <c r="D230" i="2"/>
  <c r="E230" i="2" s="1"/>
  <c r="F230" i="2" s="1"/>
  <c r="C230" i="2"/>
  <c r="Q154" i="2" l="1"/>
  <c r="R154" i="2" s="1"/>
  <c r="S154" i="2"/>
  <c r="P154" i="2"/>
  <c r="C231" i="2"/>
  <c r="D231" i="2"/>
  <c r="E231" i="2" s="1"/>
  <c r="F231" i="2" s="1"/>
  <c r="I271" i="2"/>
  <c r="L271" i="2" s="1"/>
  <c r="M270" i="2"/>
  <c r="P155" i="2" l="1"/>
  <c r="Q155" i="2"/>
  <c r="R155" i="2" s="1"/>
  <c r="S155" i="2" s="1"/>
  <c r="D232" i="2"/>
  <c r="E232" i="2" s="1"/>
  <c r="F232" i="2" s="1"/>
  <c r="C232" i="2"/>
  <c r="M271" i="2"/>
  <c r="I272" i="2"/>
  <c r="L272" i="2" s="1"/>
  <c r="P156" i="2" l="1"/>
  <c r="Q156" i="2"/>
  <c r="R156" i="2" s="1"/>
  <c r="S156" i="2" s="1"/>
  <c r="I273" i="2"/>
  <c r="L273" i="2" s="1"/>
  <c r="M272" i="2"/>
  <c r="D233" i="2"/>
  <c r="D234" i="2" s="1"/>
  <c r="C233" i="2"/>
  <c r="P157" i="2" l="1"/>
  <c r="Q157" i="2"/>
  <c r="R157" i="2" s="1"/>
  <c r="S157" i="2" s="1"/>
  <c r="E233" i="2"/>
  <c r="E234" i="2" s="1"/>
  <c r="I274" i="2"/>
  <c r="L274" i="2" s="1"/>
  <c r="M273" i="2"/>
  <c r="Q158" i="2" l="1"/>
  <c r="P158" i="2"/>
  <c r="F233" i="2"/>
  <c r="C237" i="2" s="1"/>
  <c r="M274" i="2"/>
  <c r="I275" i="2"/>
  <c r="L275" i="2" s="1"/>
  <c r="D237" i="2" l="1"/>
  <c r="E237" i="2" s="1"/>
  <c r="R158" i="2"/>
  <c r="Q159" i="2"/>
  <c r="AU15" i="2" s="1"/>
  <c r="AM15" i="2" s="1"/>
  <c r="T123" i="1" s="1"/>
  <c r="I276" i="2"/>
  <c r="L276" i="2" s="1"/>
  <c r="M275" i="2"/>
  <c r="R159" i="2" l="1"/>
  <c r="S158" i="2"/>
  <c r="I277" i="2"/>
  <c r="L277" i="2" s="1"/>
  <c r="M276" i="2"/>
  <c r="F237" i="2"/>
  <c r="Q162" i="2" l="1"/>
  <c r="P162" i="2"/>
  <c r="AY15" i="2"/>
  <c r="AO15" i="2" s="1"/>
  <c r="AS15" i="2"/>
  <c r="C238" i="2"/>
  <c r="D238" i="2"/>
  <c r="E238" i="2" s="1"/>
  <c r="M277" i="2"/>
  <c r="I278" i="2"/>
  <c r="I279" i="2" s="1"/>
  <c r="T124" i="1" l="1"/>
  <c r="T136" i="1" s="1"/>
  <c r="R162" i="2"/>
  <c r="T122" i="1"/>
  <c r="T119" i="1" s="1"/>
  <c r="AQ15" i="2"/>
  <c r="F238" i="2"/>
  <c r="L278" i="2"/>
  <c r="T161" i="1" l="1"/>
  <c r="T181" i="1"/>
  <c r="T129" i="1"/>
  <c r="T126" i="1"/>
  <c r="T134" i="1"/>
  <c r="T151" i="1" s="1"/>
  <c r="T128" i="1"/>
  <c r="E128" i="1" s="1"/>
  <c r="S162" i="2"/>
  <c r="I282" i="2"/>
  <c r="L282" i="2" s="1"/>
  <c r="M278" i="2"/>
  <c r="D239" i="2"/>
  <c r="C239" i="2"/>
  <c r="T185" i="1" l="1"/>
  <c r="P163" i="2"/>
  <c r="Q163" i="2"/>
  <c r="T154" i="1"/>
  <c r="T153" i="1" s="1"/>
  <c r="T177" i="1" s="1"/>
  <c r="T184" i="1" s="1"/>
  <c r="I283" i="2"/>
  <c r="L283" i="2" s="1"/>
  <c r="M282" i="2"/>
  <c r="E239" i="2"/>
  <c r="E187" i="1" l="1"/>
  <c r="T178" i="1"/>
  <c r="T155" i="1"/>
  <c r="R163" i="2"/>
  <c r="I284" i="2"/>
  <c r="L284" i="2" s="1"/>
  <c r="M283" i="2"/>
  <c r="F239" i="2"/>
  <c r="S163" i="2" l="1"/>
  <c r="T157" i="1"/>
  <c r="T158" i="1" s="1"/>
  <c r="T162" i="1"/>
  <c r="C240" i="2"/>
  <c r="D240" i="2"/>
  <c r="E240" i="2" s="1"/>
  <c r="I285" i="2"/>
  <c r="L285" i="2" s="1"/>
  <c r="M284" i="2"/>
  <c r="T166" i="1" l="1"/>
  <c r="T167" i="1" s="1"/>
  <c r="T164" i="1"/>
  <c r="P164" i="2"/>
  <c r="Q164" i="2"/>
  <c r="I286" i="2"/>
  <c r="M285" i="2"/>
  <c r="F240" i="2"/>
  <c r="R164" i="2" l="1"/>
  <c r="C241" i="2"/>
  <c r="D241" i="2"/>
  <c r="E241" i="2" s="1"/>
  <c r="L286" i="2"/>
  <c r="S164" i="2" l="1"/>
  <c r="F241" i="2"/>
  <c r="I287" i="2"/>
  <c r="L287" i="2" s="1"/>
  <c r="M286" i="2"/>
  <c r="P165" i="2" l="1"/>
  <c r="Q165" i="2"/>
  <c r="M287" i="2"/>
  <c r="I288" i="2"/>
  <c r="L288" i="2" s="1"/>
  <c r="C242" i="2"/>
  <c r="D242" i="2"/>
  <c r="E242" i="2" s="1"/>
  <c r="F242" i="2" s="1"/>
  <c r="R165" i="2" l="1"/>
  <c r="D243" i="2"/>
  <c r="E243" i="2" s="1"/>
  <c r="F243" i="2" s="1"/>
  <c r="C243" i="2"/>
  <c r="M288" i="2"/>
  <c r="I289" i="2"/>
  <c r="L289" i="2" s="1"/>
  <c r="S165" i="2" l="1"/>
  <c r="D244" i="2"/>
  <c r="E244" i="2" s="1"/>
  <c r="F244" i="2" s="1"/>
  <c r="C244" i="2"/>
  <c r="I290" i="2"/>
  <c r="L290" i="2" s="1"/>
  <c r="M289" i="2"/>
  <c r="P166" i="2" l="1"/>
  <c r="Q166" i="2"/>
  <c r="M290" i="2"/>
  <c r="I291" i="2"/>
  <c r="L291" i="2" s="1"/>
  <c r="D245" i="2"/>
  <c r="E245" i="2" s="1"/>
  <c r="F245" i="2" s="1"/>
  <c r="C245" i="2"/>
  <c r="R166" i="2" l="1"/>
  <c r="D246" i="2"/>
  <c r="E246" i="2" s="1"/>
  <c r="F246" i="2" s="1"/>
  <c r="C246" i="2"/>
  <c r="M291" i="2"/>
  <c r="I292" i="2"/>
  <c r="L292" i="2" s="1"/>
  <c r="S166" i="2" l="1"/>
  <c r="M292" i="2"/>
  <c r="I293" i="2"/>
  <c r="I294" i="2" s="1"/>
  <c r="D247" i="2"/>
  <c r="E247" i="2" s="1"/>
  <c r="F247" i="2" s="1"/>
  <c r="C247" i="2"/>
  <c r="P167" i="2" l="1"/>
  <c r="Q167" i="2"/>
  <c r="R167" i="2" s="1"/>
  <c r="S167" i="2" s="1"/>
  <c r="D248" i="2"/>
  <c r="D249" i="2" s="1"/>
  <c r="C248" i="2"/>
  <c r="L293" i="2"/>
  <c r="Q168" i="2" l="1"/>
  <c r="R168" i="2" s="1"/>
  <c r="S168" i="2" s="1"/>
  <c r="P168" i="2"/>
  <c r="M293" i="2"/>
  <c r="I297" i="2"/>
  <c r="L297" i="2" s="1"/>
  <c r="E248" i="2"/>
  <c r="P169" i="2" l="1"/>
  <c r="Q169" i="2"/>
  <c r="R169" i="2" s="1"/>
  <c r="S169" i="2" s="1"/>
  <c r="M297" i="2"/>
  <c r="I298" i="2"/>
  <c r="L298" i="2" s="1"/>
  <c r="E249" i="2"/>
  <c r="F248" i="2"/>
  <c r="P170" i="2" l="1"/>
  <c r="Q170" i="2"/>
  <c r="R170" i="2" s="1"/>
  <c r="S170" i="2" s="1"/>
  <c r="I299" i="2"/>
  <c r="L299" i="2" s="1"/>
  <c r="M298" i="2"/>
  <c r="D252" i="2"/>
  <c r="E252" i="2" s="1"/>
  <c r="C252" i="2"/>
  <c r="Q171" i="2" l="1"/>
  <c r="R171" i="2" s="1"/>
  <c r="S171" i="2" s="1"/>
  <c r="P171" i="2"/>
  <c r="F252" i="2"/>
  <c r="M299" i="2"/>
  <c r="I300" i="2"/>
  <c r="L300" i="2" s="1"/>
  <c r="P172" i="2" l="1"/>
  <c r="Q172" i="2"/>
  <c r="R172" i="2" s="1"/>
  <c r="S172" i="2" s="1"/>
  <c r="I301" i="2"/>
  <c r="M300" i="2"/>
  <c r="D253" i="2"/>
  <c r="C253" i="2"/>
  <c r="Q173" i="2" l="1"/>
  <c r="P173" i="2"/>
  <c r="E253" i="2"/>
  <c r="L301" i="2"/>
  <c r="R173" i="2" l="1"/>
  <c r="Q174" i="2"/>
  <c r="AU16" i="2" s="1"/>
  <c r="AM16" i="2" s="1"/>
  <c r="I302" i="2"/>
  <c r="L302" i="2" s="1"/>
  <c r="M301" i="2"/>
  <c r="F253" i="2"/>
  <c r="R174" i="2" l="1"/>
  <c r="S173" i="2"/>
  <c r="D254" i="2"/>
  <c r="E254" i="2" s="1"/>
  <c r="F254" i="2" s="1"/>
  <c r="C254" i="2"/>
  <c r="I303" i="2"/>
  <c r="L303" i="2" s="1"/>
  <c r="M302" i="2"/>
  <c r="Q177" i="2" l="1"/>
  <c r="P177" i="2"/>
  <c r="AY16" i="2"/>
  <c r="AO16" i="2" s="1"/>
  <c r="AQ16" i="2" s="1"/>
  <c r="AS16" i="2"/>
  <c r="I304" i="2"/>
  <c r="L304" i="2" s="1"/>
  <c r="M303" i="2"/>
  <c r="C255" i="2"/>
  <c r="D255" i="2"/>
  <c r="E255" i="2" s="1"/>
  <c r="R177" i="2" l="1"/>
  <c r="F255" i="2"/>
  <c r="M304" i="2"/>
  <c r="I305" i="2"/>
  <c r="L305" i="2" s="1"/>
  <c r="S177" i="2" l="1"/>
  <c r="M305" i="2"/>
  <c r="I306" i="2"/>
  <c r="L306" i="2" s="1"/>
  <c r="D256" i="2"/>
  <c r="E256" i="2" s="1"/>
  <c r="F256" i="2" s="1"/>
  <c r="C256" i="2"/>
  <c r="P178" i="2" l="1"/>
  <c r="Q178" i="2"/>
  <c r="C257" i="2"/>
  <c r="D257" i="2"/>
  <c r="E257" i="2" s="1"/>
  <c r="F257" i="2" s="1"/>
  <c r="M306" i="2"/>
  <c r="I307" i="2"/>
  <c r="L307" i="2" s="1"/>
  <c r="R178" i="2" l="1"/>
  <c r="C258" i="2"/>
  <c r="D258" i="2"/>
  <c r="E258" i="2" s="1"/>
  <c r="F258" i="2" s="1"/>
  <c r="I308" i="2"/>
  <c r="I309" i="2" s="1"/>
  <c r="M307" i="2"/>
  <c r="L308" i="2" l="1"/>
  <c r="I312" i="2" s="1"/>
  <c r="L312" i="2" s="1"/>
  <c r="S178" i="2"/>
  <c r="D259" i="2"/>
  <c r="E259" i="2" s="1"/>
  <c r="F259" i="2" s="1"/>
  <c r="C259" i="2"/>
  <c r="M308" i="2" l="1"/>
  <c r="P179" i="2"/>
  <c r="Q179" i="2"/>
  <c r="C260" i="2"/>
  <c r="D260" i="2"/>
  <c r="E260" i="2" s="1"/>
  <c r="F260" i="2" s="1"/>
  <c r="I313" i="2"/>
  <c r="L313" i="2" s="1"/>
  <c r="M312" i="2"/>
  <c r="R179" i="2" l="1"/>
  <c r="I314" i="2"/>
  <c r="M313" i="2"/>
  <c r="D261" i="2"/>
  <c r="E261" i="2" s="1"/>
  <c r="F261" i="2" s="1"/>
  <c r="C261" i="2"/>
  <c r="S179" i="2" l="1"/>
  <c r="D262" i="2"/>
  <c r="E262" i="2" s="1"/>
  <c r="F262" i="2" s="1"/>
  <c r="C262" i="2"/>
  <c r="L314" i="2"/>
  <c r="Q180" i="2" l="1"/>
  <c r="P180" i="2"/>
  <c r="D263" i="2"/>
  <c r="D264" i="2" s="1"/>
  <c r="C263" i="2"/>
  <c r="I315" i="2"/>
  <c r="L315" i="2" s="1"/>
  <c r="M314" i="2"/>
  <c r="E263" i="2" l="1"/>
  <c r="E264" i="2" s="1"/>
  <c r="R180" i="2"/>
  <c r="M315" i="2"/>
  <c r="I316" i="2"/>
  <c r="L316" i="2" s="1"/>
  <c r="F263" i="2" l="1"/>
  <c r="D267" i="2" s="1"/>
  <c r="E267" i="2" s="1"/>
  <c r="F267" i="2" s="1"/>
  <c r="S180" i="2"/>
  <c r="I317" i="2"/>
  <c r="L317" i="2" s="1"/>
  <c r="M316" i="2"/>
  <c r="C267" i="2" l="1"/>
  <c r="Q181" i="2"/>
  <c r="P181" i="2"/>
  <c r="C268" i="2"/>
  <c r="D268" i="2"/>
  <c r="I318" i="2"/>
  <c r="L318" i="2" s="1"/>
  <c r="M317" i="2"/>
  <c r="R181" i="2" l="1"/>
  <c r="I319" i="2"/>
  <c r="L319" i="2" s="1"/>
  <c r="M318" i="2"/>
  <c r="E268" i="2"/>
  <c r="S181" i="2" l="1"/>
  <c r="F268" i="2"/>
  <c r="I320" i="2"/>
  <c r="L320" i="2" s="1"/>
  <c r="M319" i="2"/>
  <c r="P182" i="2" l="1"/>
  <c r="Q182" i="2"/>
  <c r="R182" i="2" s="1"/>
  <c r="S182" i="2" s="1"/>
  <c r="I321" i="2"/>
  <c r="L321" i="2" s="1"/>
  <c r="M320" i="2"/>
  <c r="D269" i="2"/>
  <c r="E269" i="2" s="1"/>
  <c r="C269" i="2"/>
  <c r="Q183" i="2" l="1"/>
  <c r="R183" i="2" s="1"/>
  <c r="S183" i="2" s="1"/>
  <c r="P183" i="2"/>
  <c r="M321" i="2"/>
  <c r="I322" i="2"/>
  <c r="L322" i="2" s="1"/>
  <c r="F269" i="2"/>
  <c r="P184" i="2" l="1"/>
  <c r="Q184" i="2"/>
  <c r="R184" i="2" s="1"/>
  <c r="S184" i="2" s="1"/>
  <c r="D270" i="2"/>
  <c r="E270" i="2" s="1"/>
  <c r="F270" i="2" s="1"/>
  <c r="C270" i="2"/>
  <c r="I323" i="2"/>
  <c r="I324" i="2" s="1"/>
  <c r="M322" i="2"/>
  <c r="Q185" i="2" l="1"/>
  <c r="R185" i="2" s="1"/>
  <c r="S185" i="2" s="1"/>
  <c r="P185" i="2"/>
  <c r="D271" i="2"/>
  <c r="E271" i="2" s="1"/>
  <c r="F271" i="2" s="1"/>
  <c r="C271" i="2"/>
  <c r="L323" i="2"/>
  <c r="Q186" i="2" l="1"/>
  <c r="R186" i="2" s="1"/>
  <c r="S186" i="2" s="1"/>
  <c r="P186" i="2"/>
  <c r="C272" i="2"/>
  <c r="D272" i="2"/>
  <c r="E272" i="2" s="1"/>
  <c r="F272" i="2" s="1"/>
  <c r="I327" i="2"/>
  <c r="L327" i="2" s="1"/>
  <c r="M323" i="2"/>
  <c r="P187" i="2" l="1"/>
  <c r="Q187" i="2"/>
  <c r="R187" i="2" s="1"/>
  <c r="S187" i="2" s="1"/>
  <c r="C273" i="2"/>
  <c r="D273" i="2"/>
  <c r="E273" i="2" s="1"/>
  <c r="F273" i="2" s="1"/>
  <c r="I328" i="2"/>
  <c r="L328" i="2" s="1"/>
  <c r="M327" i="2"/>
  <c r="Q188" i="2" l="1"/>
  <c r="P188" i="2"/>
  <c r="I329" i="2"/>
  <c r="L329" i="2" s="1"/>
  <c r="M328" i="2"/>
  <c r="D274" i="2"/>
  <c r="E274" i="2" s="1"/>
  <c r="F274" i="2" s="1"/>
  <c r="C274" i="2"/>
  <c r="R188" i="2" l="1"/>
  <c r="Q189" i="2"/>
  <c r="AU17" i="2" s="1"/>
  <c r="AM17" i="2" s="1"/>
  <c r="C275" i="2"/>
  <c r="D275" i="2"/>
  <c r="E275" i="2" s="1"/>
  <c r="F275" i="2" s="1"/>
  <c r="I330" i="2"/>
  <c r="M329" i="2"/>
  <c r="R189" i="2" l="1"/>
  <c r="S188" i="2"/>
  <c r="D276" i="2"/>
  <c r="E276" i="2" s="1"/>
  <c r="F276" i="2" s="1"/>
  <c r="C276" i="2"/>
  <c r="L330" i="2"/>
  <c r="P192" i="2" l="1"/>
  <c r="Q192" i="2"/>
  <c r="AY17" i="2"/>
  <c r="AO17" i="2" s="1"/>
  <c r="AQ17" i="2" s="1"/>
  <c r="AS17" i="2"/>
  <c r="D277" i="2"/>
  <c r="E277" i="2" s="1"/>
  <c r="F277" i="2" s="1"/>
  <c r="C277" i="2"/>
  <c r="I331" i="2"/>
  <c r="L331" i="2" s="1"/>
  <c r="M330" i="2"/>
  <c r="R192" i="2" l="1"/>
  <c r="C278" i="2"/>
  <c r="D278" i="2"/>
  <c r="D279" i="2" s="1"/>
  <c r="I332" i="2"/>
  <c r="L332" i="2" s="1"/>
  <c r="M331" i="2"/>
  <c r="S192" i="2" l="1"/>
  <c r="M332" i="2"/>
  <c r="I333" i="2"/>
  <c r="L333" i="2" s="1"/>
  <c r="E278" i="2"/>
  <c r="P193" i="2" l="1"/>
  <c r="Q193" i="2"/>
  <c r="M333" i="2"/>
  <c r="I334" i="2"/>
  <c r="L334" i="2" s="1"/>
  <c r="E279" i="2"/>
  <c r="F278" i="2"/>
  <c r="R193" i="2" l="1"/>
  <c r="D282" i="2"/>
  <c r="C282" i="2"/>
  <c r="I335" i="2"/>
  <c r="L335" i="2" s="1"/>
  <c r="M334" i="2"/>
  <c r="S193" i="2" l="1"/>
  <c r="M335" i="2"/>
  <c r="I336" i="2"/>
  <c r="L336" i="2" s="1"/>
  <c r="E282" i="2"/>
  <c r="Q194" i="2" l="1"/>
  <c r="P194" i="2"/>
  <c r="I337" i="2"/>
  <c r="L337" i="2" s="1"/>
  <c r="M336" i="2"/>
  <c r="F282" i="2"/>
  <c r="R194" i="2" l="1"/>
  <c r="D283" i="2"/>
  <c r="E283" i="2" s="1"/>
  <c r="C283" i="2"/>
  <c r="I338" i="2"/>
  <c r="I339" i="2" s="1"/>
  <c r="M337" i="2"/>
  <c r="L338" i="2" l="1"/>
  <c r="M338" i="2" s="1"/>
  <c r="S194" i="2"/>
  <c r="F283" i="2"/>
  <c r="I342" i="2" l="1"/>
  <c r="L342" i="2" s="1"/>
  <c r="I343" i="2" s="1"/>
  <c r="L343" i="2" s="1"/>
  <c r="P195" i="2"/>
  <c r="Q195" i="2"/>
  <c r="C284" i="2"/>
  <c r="D284" i="2"/>
  <c r="E284" i="2" s="1"/>
  <c r="M342" i="2" l="1"/>
  <c r="R195" i="2"/>
  <c r="F284" i="2"/>
  <c r="M343" i="2"/>
  <c r="I344" i="2"/>
  <c r="L344" i="2" s="1"/>
  <c r="S195" i="2" l="1"/>
  <c r="I345" i="2"/>
  <c r="L345" i="2" s="1"/>
  <c r="M344" i="2"/>
  <c r="C285" i="2"/>
  <c r="D285" i="2"/>
  <c r="E285" i="2" s="1"/>
  <c r="Q196" i="2" l="1"/>
  <c r="P196" i="2"/>
  <c r="F285" i="2"/>
  <c r="M345" i="2"/>
  <c r="I346" i="2"/>
  <c r="L346" i="2" s="1"/>
  <c r="R196" i="2" l="1"/>
  <c r="I347" i="2"/>
  <c r="L347" i="2" s="1"/>
  <c r="M346" i="2"/>
  <c r="D286" i="2"/>
  <c r="E286" i="2" s="1"/>
  <c r="F286" i="2" s="1"/>
  <c r="C286" i="2"/>
  <c r="S196" i="2" l="1"/>
  <c r="C287" i="2"/>
  <c r="D287" i="2"/>
  <c r="E287" i="2" s="1"/>
  <c r="F287" i="2" s="1"/>
  <c r="I348" i="2"/>
  <c r="L348" i="2" s="1"/>
  <c r="M347" i="2"/>
  <c r="Q197" i="2" l="1"/>
  <c r="R197" i="2" s="1"/>
  <c r="S197" i="2" s="1"/>
  <c r="P197" i="2"/>
  <c r="I349" i="2"/>
  <c r="L349" i="2" s="1"/>
  <c r="M348" i="2"/>
  <c r="D288" i="2"/>
  <c r="E288" i="2" s="1"/>
  <c r="F288" i="2" s="1"/>
  <c r="C288" i="2"/>
  <c r="P198" i="2" l="1"/>
  <c r="Q198" i="2"/>
  <c r="R198" i="2" s="1"/>
  <c r="S198" i="2" s="1"/>
  <c r="D289" i="2"/>
  <c r="E289" i="2" s="1"/>
  <c r="F289" i="2" s="1"/>
  <c r="C289" i="2"/>
  <c r="I350" i="2"/>
  <c r="L350" i="2" s="1"/>
  <c r="M349" i="2"/>
  <c r="Q199" i="2" l="1"/>
  <c r="R199" i="2" s="1"/>
  <c r="P199" i="2"/>
  <c r="S199" i="2"/>
  <c r="I351" i="2"/>
  <c r="L351" i="2" s="1"/>
  <c r="M350" i="2"/>
  <c r="C290" i="2"/>
  <c r="D290" i="2"/>
  <c r="E290" i="2" s="1"/>
  <c r="F290" i="2" s="1"/>
  <c r="P200" i="2" l="1"/>
  <c r="Q200" i="2"/>
  <c r="R200" i="2" s="1"/>
  <c r="S200" i="2" s="1"/>
  <c r="C291" i="2"/>
  <c r="D291" i="2"/>
  <c r="E291" i="2" s="1"/>
  <c r="F291" i="2" s="1"/>
  <c r="I352" i="2"/>
  <c r="L352" i="2" s="1"/>
  <c r="M351" i="2"/>
  <c r="P201" i="2" l="1"/>
  <c r="Q201" i="2"/>
  <c r="R201" i="2" s="1"/>
  <c r="S201" i="2" s="1"/>
  <c r="D292" i="2"/>
  <c r="E292" i="2" s="1"/>
  <c r="F292" i="2" s="1"/>
  <c r="C292" i="2"/>
  <c r="I353" i="2"/>
  <c r="I354" i="2" s="1"/>
  <c r="M352" i="2"/>
  <c r="L353" i="2" l="1"/>
  <c r="M353" i="2" s="1"/>
  <c r="P202" i="2"/>
  <c r="Q202" i="2"/>
  <c r="R202" i="2" s="1"/>
  <c r="S202" i="2" s="1"/>
  <c r="D293" i="2"/>
  <c r="D294" i="2" s="1"/>
  <c r="C293" i="2"/>
  <c r="I357" i="2" l="1"/>
  <c r="L357" i="2" s="1"/>
  <c r="I358" i="2" s="1"/>
  <c r="L358" i="2" s="1"/>
  <c r="E293" i="2"/>
  <c r="E294" i="2" s="1"/>
  <c r="Q203" i="2"/>
  <c r="P203" i="2"/>
  <c r="M357" i="2" l="1"/>
  <c r="F293" i="2"/>
  <c r="C297" i="2" s="1"/>
  <c r="R203" i="2"/>
  <c r="Q204" i="2"/>
  <c r="AU18" i="2" s="1"/>
  <c r="AM18" i="2" s="1"/>
  <c r="I359" i="2"/>
  <c r="L359" i="2" s="1"/>
  <c r="M358" i="2"/>
  <c r="D297" i="2" l="1"/>
  <c r="E297" i="2" s="1"/>
  <c r="R204" i="2"/>
  <c r="S203" i="2"/>
  <c r="M359" i="2"/>
  <c r="I360" i="2"/>
  <c r="P207" i="2" l="1"/>
  <c r="Q207" i="2"/>
  <c r="AY18" i="2"/>
  <c r="AO18" i="2" s="1"/>
  <c r="AQ18" i="2" s="1"/>
  <c r="AS18" i="2"/>
  <c r="F297" i="2"/>
  <c r="L360" i="2"/>
  <c r="R207" i="2" l="1"/>
  <c r="D298" i="2"/>
  <c r="E298" i="2" s="1"/>
  <c r="F298" i="2" s="1"/>
  <c r="C298" i="2"/>
  <c r="M360" i="2"/>
  <c r="I361" i="2"/>
  <c r="L361" i="2" s="1"/>
  <c r="S207" i="2" l="1"/>
  <c r="C299" i="2"/>
  <c r="D299" i="2"/>
  <c r="M361" i="2"/>
  <c r="I362" i="2"/>
  <c r="L362" i="2" s="1"/>
  <c r="Q208" i="2" l="1"/>
  <c r="P208" i="2"/>
  <c r="I363" i="2"/>
  <c r="L363" i="2" s="1"/>
  <c r="M362" i="2"/>
  <c r="E299" i="2"/>
  <c r="R208" i="2" l="1"/>
  <c r="I364" i="2"/>
  <c r="L364" i="2" s="1"/>
  <c r="M363" i="2"/>
  <c r="F299" i="2"/>
  <c r="S208" i="2" l="1"/>
  <c r="M364" i="2"/>
  <c r="I365" i="2"/>
  <c r="L365" i="2" s="1"/>
  <c r="D300" i="2"/>
  <c r="E300" i="2" s="1"/>
  <c r="C300" i="2"/>
  <c r="Q209" i="2" l="1"/>
  <c r="P209" i="2"/>
  <c r="F300" i="2"/>
  <c r="I366" i="2"/>
  <c r="L366" i="2" s="1"/>
  <c r="M365" i="2"/>
  <c r="R209" i="2" l="1"/>
  <c r="M366" i="2"/>
  <c r="I367" i="2"/>
  <c r="L367" i="2" s="1"/>
  <c r="C301" i="2"/>
  <c r="D301" i="2"/>
  <c r="E301" i="2" s="1"/>
  <c r="F301" i="2" s="1"/>
  <c r="S209" i="2" l="1"/>
  <c r="D302" i="2"/>
  <c r="E302" i="2" s="1"/>
  <c r="F302" i="2" s="1"/>
  <c r="C302" i="2"/>
  <c r="M367" i="2"/>
  <c r="I368" i="2"/>
  <c r="I369" i="2" s="1"/>
  <c r="Q210" i="2" l="1"/>
  <c r="P210" i="2"/>
  <c r="C303" i="2"/>
  <c r="D303" i="2"/>
  <c r="E303" i="2" s="1"/>
  <c r="F303" i="2" s="1"/>
  <c r="L368" i="2"/>
  <c r="R210" i="2" l="1"/>
  <c r="C304" i="2"/>
  <c r="D304" i="2"/>
  <c r="E304" i="2" s="1"/>
  <c r="F304" i="2" s="1"/>
  <c r="M368" i="2"/>
  <c r="I372" i="2"/>
  <c r="L372" i="2" s="1"/>
  <c r="S210" i="2" l="1"/>
  <c r="C305" i="2"/>
  <c r="D305" i="2"/>
  <c r="E305" i="2" s="1"/>
  <c r="F305" i="2" s="1"/>
  <c r="I373" i="2"/>
  <c r="L373" i="2" s="1"/>
  <c r="M372" i="2"/>
  <c r="P211" i="2" l="1"/>
  <c r="Q211" i="2"/>
  <c r="D306" i="2"/>
  <c r="E306" i="2" s="1"/>
  <c r="F306" i="2" s="1"/>
  <c r="C306" i="2"/>
  <c r="M373" i="2"/>
  <c r="I374" i="2"/>
  <c r="L374" i="2" s="1"/>
  <c r="R211" i="2" l="1"/>
  <c r="D307" i="2"/>
  <c r="E307" i="2" s="1"/>
  <c r="F307" i="2" s="1"/>
  <c r="C307" i="2"/>
  <c r="M374" i="2"/>
  <c r="I375" i="2"/>
  <c r="S211" i="2" l="1"/>
  <c r="D308" i="2"/>
  <c r="D309" i="2" s="1"/>
  <c r="C308" i="2"/>
  <c r="L375" i="2"/>
  <c r="P212" i="2" l="1"/>
  <c r="Q212" i="2"/>
  <c r="R212" i="2" s="1"/>
  <c r="S212" i="2" s="1"/>
  <c r="E308" i="2"/>
  <c r="E309" i="2" s="1"/>
  <c r="I376" i="2"/>
  <c r="L376" i="2" s="1"/>
  <c r="M375" i="2"/>
  <c r="P213" i="2" l="1"/>
  <c r="Q213" i="2"/>
  <c r="R213" i="2" s="1"/>
  <c r="S213" i="2" s="1"/>
  <c r="F308" i="2"/>
  <c r="C312" i="2" s="1"/>
  <c r="I377" i="2"/>
  <c r="L377" i="2" s="1"/>
  <c r="M376" i="2"/>
  <c r="D312" i="2" l="1"/>
  <c r="E312" i="2" s="1"/>
  <c r="Q214" i="2"/>
  <c r="R214" i="2" s="1"/>
  <c r="S214" i="2" s="1"/>
  <c r="P214" i="2"/>
  <c r="M377" i="2"/>
  <c r="I378" i="2"/>
  <c r="L378" i="2" s="1"/>
  <c r="P215" i="2" l="1"/>
  <c r="Q215" i="2"/>
  <c r="R215" i="2" s="1"/>
  <c r="S215" i="2" s="1"/>
  <c r="F312" i="2"/>
  <c r="I379" i="2"/>
  <c r="L379" i="2" s="1"/>
  <c r="M378" i="2"/>
  <c r="P216" i="2" l="1"/>
  <c r="Q216" i="2"/>
  <c r="R216" i="2" s="1"/>
  <c r="S216" i="2" s="1"/>
  <c r="M379" i="2"/>
  <c r="I380" i="2"/>
  <c r="L380" i="2" s="1"/>
  <c r="C313" i="2"/>
  <c r="D313" i="2"/>
  <c r="E313" i="2" s="1"/>
  <c r="Q217" i="2" l="1"/>
  <c r="R217" i="2" s="1"/>
  <c r="S217" i="2" s="1"/>
  <c r="P217" i="2"/>
  <c r="F313" i="2"/>
  <c r="I381" i="2"/>
  <c r="L381" i="2" s="1"/>
  <c r="M380" i="2"/>
  <c r="Q218" i="2" l="1"/>
  <c r="P218" i="2"/>
  <c r="I382" i="2"/>
  <c r="L382" i="2" s="1"/>
  <c r="M381" i="2"/>
  <c r="D314" i="2"/>
  <c r="C314" i="2"/>
  <c r="R218" i="2" l="1"/>
  <c r="Q219" i="2"/>
  <c r="AU19" i="2" s="1"/>
  <c r="AM19" i="2" s="1"/>
  <c r="I383" i="2"/>
  <c r="I384" i="2" s="1"/>
  <c r="M382" i="2"/>
  <c r="E314" i="2"/>
  <c r="L383" i="2" l="1"/>
  <c r="I387" i="2" s="1"/>
  <c r="R219" i="2"/>
  <c r="S218" i="2"/>
  <c r="F314" i="2"/>
  <c r="M383" i="2" l="1"/>
  <c r="L387" i="2"/>
  <c r="I388" i="2" s="1"/>
  <c r="L388" i="2" s="1"/>
  <c r="Q222" i="2"/>
  <c r="P222" i="2"/>
  <c r="AS19" i="2"/>
  <c r="AY19" i="2"/>
  <c r="AO19" i="2" s="1"/>
  <c r="AQ19" i="2" s="1"/>
  <c r="C315" i="2"/>
  <c r="D315" i="2"/>
  <c r="E315" i="2" s="1"/>
  <c r="M387" i="2" l="1"/>
  <c r="R222" i="2"/>
  <c r="F315" i="2"/>
  <c r="M388" i="2"/>
  <c r="I389" i="2"/>
  <c r="S222" i="2" l="1"/>
  <c r="L389" i="2"/>
  <c r="D316" i="2"/>
  <c r="E316" i="2" s="1"/>
  <c r="C316" i="2"/>
  <c r="P223" i="2" l="1"/>
  <c r="Q223" i="2"/>
  <c r="F316" i="2"/>
  <c r="I390" i="2"/>
  <c r="L390" i="2" s="1"/>
  <c r="M389" i="2"/>
  <c r="R223" i="2" l="1"/>
  <c r="I391" i="2"/>
  <c r="L391" i="2" s="1"/>
  <c r="M390" i="2"/>
  <c r="C317" i="2"/>
  <c r="D317" i="2"/>
  <c r="E317" i="2" s="1"/>
  <c r="F317" i="2" s="1"/>
  <c r="S223" i="2" l="1"/>
  <c r="D318" i="2"/>
  <c r="E318" i="2" s="1"/>
  <c r="F318" i="2" s="1"/>
  <c r="C318" i="2"/>
  <c r="I392" i="2"/>
  <c r="L392" i="2" s="1"/>
  <c r="M391" i="2"/>
  <c r="Q224" i="2" l="1"/>
  <c r="P224" i="2"/>
  <c r="C319" i="2"/>
  <c r="D319" i="2"/>
  <c r="E319" i="2" s="1"/>
  <c r="F319" i="2" s="1"/>
  <c r="M392" i="2"/>
  <c r="I393" i="2"/>
  <c r="L393" i="2" s="1"/>
  <c r="R224" i="2" l="1"/>
  <c r="D320" i="2"/>
  <c r="E320" i="2" s="1"/>
  <c r="F320" i="2" s="1"/>
  <c r="C320" i="2"/>
  <c r="M393" i="2"/>
  <c r="I394" i="2"/>
  <c r="L394" i="2" s="1"/>
  <c r="S224" i="2" l="1"/>
  <c r="M394" i="2"/>
  <c r="I395" i="2"/>
  <c r="L395" i="2" s="1"/>
  <c r="D321" i="2"/>
  <c r="E321" i="2" s="1"/>
  <c r="F321" i="2" s="1"/>
  <c r="C321" i="2"/>
  <c r="Q225" i="2" l="1"/>
  <c r="P225" i="2"/>
  <c r="D322" i="2"/>
  <c r="E322" i="2" s="1"/>
  <c r="F322" i="2" s="1"/>
  <c r="C322" i="2"/>
  <c r="M395" i="2"/>
  <c r="I396" i="2"/>
  <c r="L396" i="2" s="1"/>
  <c r="R225" i="2" l="1"/>
  <c r="M396" i="2"/>
  <c r="I397" i="2"/>
  <c r="L397" i="2" s="1"/>
  <c r="D323" i="2"/>
  <c r="D324" i="2" s="1"/>
  <c r="C323" i="2"/>
  <c r="S225" i="2" l="1"/>
  <c r="I398" i="2"/>
  <c r="I399" i="2" s="1"/>
  <c r="M397" i="2"/>
  <c r="E323" i="2"/>
  <c r="L398" i="2" l="1"/>
  <c r="M398" i="2" s="1"/>
  <c r="Q226" i="2"/>
  <c r="P226" i="2"/>
  <c r="E324" i="2"/>
  <c r="F323" i="2"/>
  <c r="I402" i="2" l="1"/>
  <c r="L402" i="2" s="1"/>
  <c r="I403" i="2" s="1"/>
  <c r="R226" i="2"/>
  <c r="C327" i="2"/>
  <c r="D327" i="2"/>
  <c r="M402" i="2" l="1"/>
  <c r="S226" i="2"/>
  <c r="E327" i="2"/>
  <c r="L403" i="2"/>
  <c r="P227" i="2" l="1"/>
  <c r="Q227" i="2"/>
  <c r="R227" i="2" s="1"/>
  <c r="S227" i="2" s="1"/>
  <c r="M403" i="2"/>
  <c r="I404" i="2"/>
  <c r="L404" i="2" s="1"/>
  <c r="F327" i="2"/>
  <c r="P228" i="2" l="1"/>
  <c r="Q228" i="2"/>
  <c r="R228" i="2" s="1"/>
  <c r="S228" i="2" s="1"/>
  <c r="I405" i="2"/>
  <c r="L405" i="2" s="1"/>
  <c r="M404" i="2"/>
  <c r="C328" i="2"/>
  <c r="D328" i="2"/>
  <c r="E328" i="2" s="1"/>
  <c r="P229" i="2" l="1"/>
  <c r="Q229" i="2"/>
  <c r="R229" i="2" s="1"/>
  <c r="S229" i="2" s="1"/>
  <c r="F328" i="2"/>
  <c r="M405" i="2"/>
  <c r="I406" i="2"/>
  <c r="L406" i="2" s="1"/>
  <c r="P230" i="2" l="1"/>
  <c r="Q230" i="2"/>
  <c r="R230" i="2" s="1"/>
  <c r="S230" i="2" s="1"/>
  <c r="I407" i="2"/>
  <c r="L407" i="2" s="1"/>
  <c r="M406" i="2"/>
  <c r="D329" i="2"/>
  <c r="C329" i="2"/>
  <c r="Q231" i="2" l="1"/>
  <c r="R231" i="2" s="1"/>
  <c r="S231" i="2" s="1"/>
  <c r="P231" i="2"/>
  <c r="E329" i="2"/>
  <c r="M407" i="2"/>
  <c r="I408" i="2"/>
  <c r="L408" i="2" s="1"/>
  <c r="Q232" i="2" l="1"/>
  <c r="R232" i="2" s="1"/>
  <c r="S232" i="2" s="1"/>
  <c r="P232" i="2"/>
  <c r="I409" i="2"/>
  <c r="L409" i="2" s="1"/>
  <c r="M408" i="2"/>
  <c r="F329" i="2"/>
  <c r="P233" i="2" l="1"/>
  <c r="Q233" i="2"/>
  <c r="D330" i="2"/>
  <c r="E330" i="2" s="1"/>
  <c r="C330" i="2"/>
  <c r="M409" i="2"/>
  <c r="I410" i="2"/>
  <c r="L410" i="2" s="1"/>
  <c r="R233" i="2" l="1"/>
  <c r="Q234" i="2"/>
  <c r="AU20" i="2" s="1"/>
  <c r="AM20" i="2" s="1"/>
  <c r="I411" i="2"/>
  <c r="L411" i="2" s="1"/>
  <c r="M410" i="2"/>
  <c r="F330" i="2"/>
  <c r="R234" i="2" l="1"/>
  <c r="S233" i="2"/>
  <c r="D331" i="2"/>
  <c r="E331" i="2" s="1"/>
  <c r="C331" i="2"/>
  <c r="I412" i="2"/>
  <c r="L412" i="2" s="1"/>
  <c r="M411" i="2"/>
  <c r="Q237" i="2" l="1"/>
  <c r="P237" i="2"/>
  <c r="AY20" i="2"/>
  <c r="AO20" i="2" s="1"/>
  <c r="AQ20" i="2" s="1"/>
  <c r="AS20" i="2"/>
  <c r="F331" i="2"/>
  <c r="I413" i="2"/>
  <c r="I414" i="2" s="1"/>
  <c r="M412" i="2"/>
  <c r="R237" i="2" l="1"/>
  <c r="L413" i="2"/>
  <c r="C332" i="2"/>
  <c r="D332" i="2"/>
  <c r="E332" i="2" s="1"/>
  <c r="F332" i="2" s="1"/>
  <c r="S237" i="2" l="1"/>
  <c r="C333" i="2"/>
  <c r="D333" i="2"/>
  <c r="E333" i="2" s="1"/>
  <c r="F333" i="2" s="1"/>
  <c r="M413" i="2"/>
  <c r="I417" i="2"/>
  <c r="P238" i="2" l="1"/>
  <c r="Q238" i="2"/>
  <c r="C334" i="2"/>
  <c r="D334" i="2"/>
  <c r="E334" i="2" s="1"/>
  <c r="F334" i="2" s="1"/>
  <c r="L417" i="2"/>
  <c r="R238" i="2" l="1"/>
  <c r="C335" i="2"/>
  <c r="D335" i="2"/>
  <c r="E335" i="2" s="1"/>
  <c r="F335" i="2" s="1"/>
  <c r="I418" i="2"/>
  <c r="M417" i="2"/>
  <c r="S238" i="2" l="1"/>
  <c r="D336" i="2"/>
  <c r="E336" i="2" s="1"/>
  <c r="F336" i="2" s="1"/>
  <c r="C336" i="2"/>
  <c r="L418" i="2"/>
  <c r="P239" i="2" l="1"/>
  <c r="Q239" i="2"/>
  <c r="C337" i="2"/>
  <c r="D337" i="2"/>
  <c r="E337" i="2" s="1"/>
  <c r="F337" i="2" s="1"/>
  <c r="I419" i="2"/>
  <c r="L419" i="2" s="1"/>
  <c r="M418" i="2"/>
  <c r="R239" i="2" l="1"/>
  <c r="D338" i="2"/>
  <c r="D339" i="2" s="1"/>
  <c r="C338" i="2"/>
  <c r="M419" i="2"/>
  <c r="I420" i="2"/>
  <c r="L420" i="2" s="1"/>
  <c r="S239" i="2" l="1"/>
  <c r="M420" i="2"/>
  <c r="I421" i="2"/>
  <c r="L421" i="2" s="1"/>
  <c r="E338" i="2"/>
  <c r="P240" i="2" l="1"/>
  <c r="Q240" i="2"/>
  <c r="E339" i="2"/>
  <c r="F338" i="2"/>
  <c r="M421" i="2"/>
  <c r="I422" i="2"/>
  <c r="L422" i="2" s="1"/>
  <c r="R240" i="2" l="1"/>
  <c r="M422" i="2"/>
  <c r="I423" i="2"/>
  <c r="L423" i="2" s="1"/>
  <c r="D342" i="2"/>
  <c r="C342" i="2"/>
  <c r="S240" i="2" l="1"/>
  <c r="I424" i="2"/>
  <c r="L424" i="2" s="1"/>
  <c r="M423" i="2"/>
  <c r="E342" i="2"/>
  <c r="Q241" i="2" l="1"/>
  <c r="P241" i="2"/>
  <c r="M424" i="2"/>
  <c r="I425" i="2"/>
  <c r="L425" i="2" s="1"/>
  <c r="F342" i="2"/>
  <c r="R241" i="2" l="1"/>
  <c r="C343" i="2"/>
  <c r="D343" i="2"/>
  <c r="I426" i="2"/>
  <c r="L426" i="2" s="1"/>
  <c r="M425" i="2"/>
  <c r="S241" i="2" l="1"/>
  <c r="M426" i="2"/>
  <c r="I427" i="2"/>
  <c r="L427" i="2" s="1"/>
  <c r="E343" i="2"/>
  <c r="P242" i="2" l="1"/>
  <c r="Q242" i="2"/>
  <c r="R242" i="2" s="1"/>
  <c r="S242" i="2" s="1"/>
  <c r="I428" i="2"/>
  <c r="I429" i="2" s="1"/>
  <c r="M427" i="2"/>
  <c r="F343" i="2"/>
  <c r="L428" i="2" l="1"/>
  <c r="M428" i="2" s="1"/>
  <c r="Q243" i="2"/>
  <c r="R243" i="2" s="1"/>
  <c r="P243" i="2"/>
  <c r="S243" i="2"/>
  <c r="D344" i="2"/>
  <c r="E344" i="2" s="1"/>
  <c r="C344" i="2"/>
  <c r="I432" i="2" l="1"/>
  <c r="L432" i="2" s="1"/>
  <c r="Q244" i="2"/>
  <c r="R244" i="2" s="1"/>
  <c r="S244" i="2" s="1"/>
  <c r="P244" i="2"/>
  <c r="F344" i="2"/>
  <c r="Q245" i="2" l="1"/>
  <c r="R245" i="2" s="1"/>
  <c r="S245" i="2" s="1"/>
  <c r="P245" i="2"/>
  <c r="C345" i="2"/>
  <c r="D345" i="2"/>
  <c r="E345" i="2" s="1"/>
  <c r="I433" i="2"/>
  <c r="L433" i="2" s="1"/>
  <c r="M432" i="2"/>
  <c r="Q246" i="2" l="1"/>
  <c r="R246" i="2" s="1"/>
  <c r="P246" i="2"/>
  <c r="S246" i="2"/>
  <c r="F345" i="2"/>
  <c r="I434" i="2"/>
  <c r="L434" i="2" s="1"/>
  <c r="M433" i="2"/>
  <c r="P247" i="2" l="1"/>
  <c r="Q247" i="2"/>
  <c r="R247" i="2" s="1"/>
  <c r="S247" i="2" s="1"/>
  <c r="M434" i="2"/>
  <c r="I435" i="2"/>
  <c r="L435" i="2" s="1"/>
  <c r="D346" i="2"/>
  <c r="E346" i="2" s="1"/>
  <c r="F346" i="2" s="1"/>
  <c r="C346" i="2"/>
  <c r="Q248" i="2" l="1"/>
  <c r="P248" i="2"/>
  <c r="D347" i="2"/>
  <c r="E347" i="2" s="1"/>
  <c r="F347" i="2" s="1"/>
  <c r="C347" i="2"/>
  <c r="I436" i="2"/>
  <c r="L436" i="2" s="1"/>
  <c r="M435" i="2"/>
  <c r="R248" i="2" l="1"/>
  <c r="Q249" i="2"/>
  <c r="AU21" i="2" s="1"/>
  <c r="AM21" i="2" s="1"/>
  <c r="D348" i="2"/>
  <c r="E348" i="2" s="1"/>
  <c r="F348" i="2" s="1"/>
  <c r="C348" i="2"/>
  <c r="M436" i="2"/>
  <c r="I437" i="2"/>
  <c r="L437" i="2" s="1"/>
  <c r="R249" i="2" l="1"/>
  <c r="S248" i="2"/>
  <c r="D349" i="2"/>
  <c r="E349" i="2" s="1"/>
  <c r="F349" i="2" s="1"/>
  <c r="C349" i="2"/>
  <c r="M437" i="2"/>
  <c r="I438" i="2"/>
  <c r="L438" i="2" s="1"/>
  <c r="P252" i="2" l="1"/>
  <c r="Q252" i="2"/>
  <c r="AY21" i="2"/>
  <c r="AO21" i="2" s="1"/>
  <c r="AQ21" i="2" s="1"/>
  <c r="AS21" i="2"/>
  <c r="M438" i="2"/>
  <c r="I439" i="2"/>
  <c r="L439" i="2" s="1"/>
  <c r="C350" i="2"/>
  <c r="D350" i="2"/>
  <c r="E350" i="2" s="1"/>
  <c r="F350" i="2" s="1"/>
  <c r="R252" i="2" l="1"/>
  <c r="C351" i="2"/>
  <c r="D351" i="2"/>
  <c r="E351" i="2" s="1"/>
  <c r="F351" i="2" s="1"/>
  <c r="M439" i="2"/>
  <c r="I440" i="2"/>
  <c r="L440" i="2" s="1"/>
  <c r="S252" i="2" l="1"/>
  <c r="M440" i="2"/>
  <c r="I441" i="2"/>
  <c r="L441" i="2" s="1"/>
  <c r="D352" i="2"/>
  <c r="E352" i="2" s="1"/>
  <c r="F352" i="2" s="1"/>
  <c r="C352" i="2"/>
  <c r="Q253" i="2" l="1"/>
  <c r="P253" i="2"/>
  <c r="D353" i="2"/>
  <c r="D354" i="2" s="1"/>
  <c r="C353" i="2"/>
  <c r="M441" i="2"/>
  <c r="I442" i="2"/>
  <c r="L442" i="2" s="1"/>
  <c r="R253" i="2" l="1"/>
  <c r="I443" i="2"/>
  <c r="I444" i="2" s="1"/>
  <c r="M442" i="2"/>
  <c r="E353" i="2"/>
  <c r="L443" i="2" l="1"/>
  <c r="I447" i="2" s="1"/>
  <c r="L447" i="2" s="1"/>
  <c r="S253" i="2"/>
  <c r="E354" i="2"/>
  <c r="F353" i="2"/>
  <c r="M443" i="2" l="1"/>
  <c r="P254" i="2"/>
  <c r="Q254" i="2"/>
  <c r="I448" i="2"/>
  <c r="L448" i="2" s="1"/>
  <c r="M447" i="2"/>
  <c r="D357" i="2"/>
  <c r="E357" i="2" s="1"/>
  <c r="C357" i="2"/>
  <c r="R254" i="2" l="1"/>
  <c r="F357" i="2"/>
  <c r="I449" i="2"/>
  <c r="M448" i="2"/>
  <c r="S254" i="2" l="1"/>
  <c r="L449" i="2"/>
  <c r="D358" i="2"/>
  <c r="E358" i="2" s="1"/>
  <c r="C358" i="2"/>
  <c r="Q255" i="2" l="1"/>
  <c r="P255" i="2"/>
  <c r="F358" i="2"/>
  <c r="M449" i="2"/>
  <c r="I450" i="2"/>
  <c r="R255" i="2" l="1"/>
  <c r="L450" i="2"/>
  <c r="D359" i="2"/>
  <c r="E359" i="2" s="1"/>
  <c r="C359" i="2"/>
  <c r="S255" i="2" l="1"/>
  <c r="F359" i="2"/>
  <c r="I451" i="2"/>
  <c r="L451" i="2" s="1"/>
  <c r="M450" i="2"/>
  <c r="P256" i="2" l="1"/>
  <c r="Q256" i="2"/>
  <c r="M451" i="2"/>
  <c r="I452" i="2"/>
  <c r="L452" i="2" s="1"/>
  <c r="D360" i="2"/>
  <c r="E360" i="2" s="1"/>
  <c r="C360" i="2"/>
  <c r="R256" i="2" l="1"/>
  <c r="F360" i="2"/>
  <c r="I453" i="2"/>
  <c r="L453" i="2" s="1"/>
  <c r="M452" i="2"/>
  <c r="S256" i="2" l="1"/>
  <c r="I454" i="2"/>
  <c r="L454" i="2" s="1"/>
  <c r="M453" i="2"/>
  <c r="C361" i="2"/>
  <c r="D361" i="2"/>
  <c r="E361" i="2" s="1"/>
  <c r="Q257" i="2" l="1"/>
  <c r="R257" i="2" s="1"/>
  <c r="S257" i="2" s="1"/>
  <c r="P257" i="2"/>
  <c r="F361" i="2"/>
  <c r="I455" i="2"/>
  <c r="L455" i="2" s="1"/>
  <c r="M454" i="2"/>
  <c r="P258" i="2" l="1"/>
  <c r="Q258" i="2"/>
  <c r="R258" i="2" s="1"/>
  <c r="S258" i="2" s="1"/>
  <c r="I456" i="2"/>
  <c r="L456" i="2" s="1"/>
  <c r="M455" i="2"/>
  <c r="C362" i="2"/>
  <c r="D362" i="2"/>
  <c r="E362" i="2" s="1"/>
  <c r="F362" i="2" s="1"/>
  <c r="P259" i="2" l="1"/>
  <c r="Q259" i="2"/>
  <c r="R259" i="2" s="1"/>
  <c r="S259" i="2" s="1"/>
  <c r="C363" i="2"/>
  <c r="D363" i="2"/>
  <c r="E363" i="2" s="1"/>
  <c r="F363" i="2" s="1"/>
  <c r="M456" i="2"/>
  <c r="I457" i="2"/>
  <c r="L457" i="2" s="1"/>
  <c r="P260" i="2" l="1"/>
  <c r="Q260" i="2"/>
  <c r="R260" i="2" s="1"/>
  <c r="S260" i="2" s="1"/>
  <c r="I458" i="2"/>
  <c r="I459" i="2" s="1"/>
  <c r="M457" i="2"/>
  <c r="D364" i="2"/>
  <c r="E364" i="2" s="1"/>
  <c r="F364" i="2" s="1"/>
  <c r="C364" i="2"/>
  <c r="L458" i="2" l="1"/>
  <c r="Q261" i="2"/>
  <c r="R261" i="2" s="1"/>
  <c r="S261" i="2" s="1"/>
  <c r="P261" i="2"/>
  <c r="D365" i="2"/>
  <c r="E365" i="2" s="1"/>
  <c r="F365" i="2" s="1"/>
  <c r="C365" i="2"/>
  <c r="Q262" i="2" l="1"/>
  <c r="R262" i="2" s="1"/>
  <c r="S262" i="2" s="1"/>
  <c r="P262" i="2"/>
  <c r="D366" i="2"/>
  <c r="E366" i="2" s="1"/>
  <c r="F366" i="2" s="1"/>
  <c r="C366" i="2"/>
  <c r="Q263" i="2" l="1"/>
  <c r="P263" i="2"/>
  <c r="C367" i="2"/>
  <c r="D367" i="2"/>
  <c r="E367" i="2" s="1"/>
  <c r="F367" i="2" s="1"/>
  <c r="R263" i="2" l="1"/>
  <c r="Q264" i="2"/>
  <c r="AU22" i="2" s="1"/>
  <c r="AM22" i="2" s="1"/>
  <c r="C368" i="2"/>
  <c r="D368" i="2"/>
  <c r="D369" i="2" s="1"/>
  <c r="R264" i="2" l="1"/>
  <c r="S263" i="2"/>
  <c r="E368" i="2"/>
  <c r="Q267" i="2" l="1"/>
  <c r="P267" i="2"/>
  <c r="AY22" i="2"/>
  <c r="AO22" i="2" s="1"/>
  <c r="AQ22" i="2" s="1"/>
  <c r="AS22" i="2"/>
  <c r="E369" i="2"/>
  <c r="F368" i="2"/>
  <c r="R267" i="2" l="1"/>
  <c r="C372" i="2"/>
  <c r="D372" i="2"/>
  <c r="S267" i="2" l="1"/>
  <c r="E372" i="2"/>
  <c r="Q268" i="2" l="1"/>
  <c r="P268" i="2"/>
  <c r="F372" i="2"/>
  <c r="R268" i="2" l="1"/>
  <c r="C373" i="2"/>
  <c r="D373" i="2"/>
  <c r="E373" i="2" s="1"/>
  <c r="S268" i="2" l="1"/>
  <c r="F373" i="2"/>
  <c r="Q269" i="2" l="1"/>
  <c r="P269" i="2"/>
  <c r="C374" i="2"/>
  <c r="D374" i="2"/>
  <c r="R269" i="2" l="1"/>
  <c r="E374" i="2"/>
  <c r="S269" i="2" l="1"/>
  <c r="F374" i="2"/>
  <c r="Q270" i="2" l="1"/>
  <c r="P270" i="2"/>
  <c r="D375" i="2"/>
  <c r="E375" i="2" s="1"/>
  <c r="C375" i="2"/>
  <c r="R270" i="2" l="1"/>
  <c r="F375" i="2"/>
  <c r="S270" i="2" l="1"/>
  <c r="C376" i="2"/>
  <c r="D376" i="2"/>
  <c r="E376" i="2" s="1"/>
  <c r="Q271" i="2" l="1"/>
  <c r="P271" i="2"/>
  <c r="F376" i="2"/>
  <c r="R271" i="2" l="1"/>
  <c r="C377" i="2"/>
  <c r="D377" i="2"/>
  <c r="E377" i="2" s="1"/>
  <c r="F377" i="2" s="1"/>
  <c r="S271" i="2" l="1"/>
  <c r="C378" i="2"/>
  <c r="D378" i="2"/>
  <c r="E378" i="2" s="1"/>
  <c r="F378" i="2" s="1"/>
  <c r="Q272" i="2" l="1"/>
  <c r="R272" i="2" s="1"/>
  <c r="S272" i="2" s="1"/>
  <c r="P272" i="2"/>
  <c r="D379" i="2"/>
  <c r="E379" i="2" s="1"/>
  <c r="F379" i="2" s="1"/>
  <c r="C379" i="2"/>
  <c r="P273" i="2" l="1"/>
  <c r="Q273" i="2"/>
  <c r="R273" i="2" s="1"/>
  <c r="S273" i="2" s="1"/>
  <c r="C380" i="2"/>
  <c r="D380" i="2"/>
  <c r="E380" i="2" s="1"/>
  <c r="F380" i="2" s="1"/>
  <c r="Q274" i="2" l="1"/>
  <c r="R274" i="2" s="1"/>
  <c r="S274" i="2" s="1"/>
  <c r="P274" i="2"/>
  <c r="D381" i="2"/>
  <c r="E381" i="2" s="1"/>
  <c r="F381" i="2" s="1"/>
  <c r="C381" i="2"/>
  <c r="P275" i="2" l="1"/>
  <c r="Q275" i="2"/>
  <c r="R275" i="2" s="1"/>
  <c r="S275" i="2" s="1"/>
  <c r="C382" i="2"/>
  <c r="D382" i="2"/>
  <c r="E382" i="2" s="1"/>
  <c r="F382" i="2" s="1"/>
  <c r="P276" i="2" l="1"/>
  <c r="Q276" i="2"/>
  <c r="R276" i="2" s="1"/>
  <c r="S276" i="2" s="1"/>
  <c r="C383" i="2"/>
  <c r="D383" i="2"/>
  <c r="D384" i="2" s="1"/>
  <c r="P277" i="2" l="1"/>
  <c r="Q277" i="2"/>
  <c r="R277" i="2" s="1"/>
  <c r="S277" i="2" s="1"/>
  <c r="E383" i="2"/>
  <c r="P278" i="2" l="1"/>
  <c r="Q278" i="2"/>
  <c r="E384" i="2"/>
  <c r="F383" i="2"/>
  <c r="R278" i="2" l="1"/>
  <c r="Q279" i="2"/>
  <c r="AU23" i="2" s="1"/>
  <c r="AM23" i="2" s="1"/>
  <c r="C387" i="2"/>
  <c r="D387" i="2"/>
  <c r="R279" i="2" l="1"/>
  <c r="S278" i="2"/>
  <c r="E387" i="2"/>
  <c r="Q282" i="2" l="1"/>
  <c r="P282" i="2"/>
  <c r="AY23" i="2"/>
  <c r="AO23" i="2" s="1"/>
  <c r="AQ23" i="2" s="1"/>
  <c r="AS23" i="2"/>
  <c r="F387" i="2"/>
  <c r="R282" i="2" l="1"/>
  <c r="C388" i="2"/>
  <c r="D388" i="2"/>
  <c r="S282" i="2" l="1"/>
  <c r="E388" i="2"/>
  <c r="Q283" i="2" l="1"/>
  <c r="P283" i="2"/>
  <c r="F388" i="2"/>
  <c r="R283" i="2" l="1"/>
  <c r="D389" i="2"/>
  <c r="E389" i="2" s="1"/>
  <c r="C389" i="2"/>
  <c r="S283" i="2" l="1"/>
  <c r="F389" i="2"/>
  <c r="P284" i="2" l="1"/>
  <c r="Q284" i="2"/>
  <c r="C390" i="2"/>
  <c r="D390" i="2"/>
  <c r="E390" i="2" s="1"/>
  <c r="R284" i="2" l="1"/>
  <c r="F390" i="2"/>
  <c r="S284" i="2" l="1"/>
  <c r="C391" i="2"/>
  <c r="D391" i="2"/>
  <c r="E391" i="2" s="1"/>
  <c r="F391" i="2" s="1"/>
  <c r="P285" i="2" l="1"/>
  <c r="Q285" i="2"/>
  <c r="D392" i="2"/>
  <c r="E392" i="2" s="1"/>
  <c r="F392" i="2" s="1"/>
  <c r="C392" i="2"/>
  <c r="R285" i="2" l="1"/>
  <c r="C393" i="2"/>
  <c r="D393" i="2"/>
  <c r="E393" i="2" s="1"/>
  <c r="F393" i="2" s="1"/>
  <c r="S285" i="2" l="1"/>
  <c r="D394" i="2"/>
  <c r="E394" i="2" s="1"/>
  <c r="F394" i="2" s="1"/>
  <c r="C394" i="2"/>
  <c r="Q286" i="2" l="1"/>
  <c r="P286" i="2"/>
  <c r="D395" i="2"/>
  <c r="E395" i="2" s="1"/>
  <c r="F395" i="2" s="1"/>
  <c r="C395" i="2"/>
  <c r="R286" i="2" l="1"/>
  <c r="D396" i="2"/>
  <c r="E396" i="2" s="1"/>
  <c r="F396" i="2" s="1"/>
  <c r="C396" i="2"/>
  <c r="S286" i="2" l="1"/>
  <c r="C397" i="2"/>
  <c r="D397" i="2"/>
  <c r="E397" i="2" s="1"/>
  <c r="F397" i="2" s="1"/>
  <c r="Q287" i="2" l="1"/>
  <c r="R287" i="2" s="1"/>
  <c r="S287" i="2" s="1"/>
  <c r="P287" i="2"/>
  <c r="D398" i="2"/>
  <c r="D399" i="2" s="1"/>
  <c r="C398" i="2"/>
  <c r="P288" i="2" l="1"/>
  <c r="Q288" i="2"/>
  <c r="R288" i="2" s="1"/>
  <c r="S288" i="2" s="1"/>
  <c r="E398" i="2"/>
  <c r="Q289" i="2" l="1"/>
  <c r="R289" i="2" s="1"/>
  <c r="S289" i="2" s="1"/>
  <c r="P289" i="2"/>
  <c r="E399" i="2"/>
  <c r="F398" i="2"/>
  <c r="Q290" i="2" l="1"/>
  <c r="R290" i="2" s="1"/>
  <c r="S290" i="2" s="1"/>
  <c r="P290" i="2"/>
  <c r="C402" i="2"/>
  <c r="D402" i="2"/>
  <c r="Q291" i="2" l="1"/>
  <c r="R291" i="2" s="1"/>
  <c r="S291" i="2" s="1"/>
  <c r="P291" i="2"/>
  <c r="E402" i="2"/>
  <c r="P292" i="2" l="1"/>
  <c r="Q292" i="2"/>
  <c r="R292" i="2" s="1"/>
  <c r="S292" i="2" s="1"/>
  <c r="F402" i="2"/>
  <c r="Q293" i="2" l="1"/>
  <c r="P293" i="2"/>
  <c r="C403" i="2"/>
  <c r="D403" i="2"/>
  <c r="R293" i="2" l="1"/>
  <c r="Q294" i="2"/>
  <c r="AU24" i="2" s="1"/>
  <c r="AM24" i="2" s="1"/>
  <c r="E403" i="2"/>
  <c r="R294" i="2" l="1"/>
  <c r="S293" i="2"/>
  <c r="F403" i="2"/>
  <c r="Q297" i="2" l="1"/>
  <c r="P297" i="2"/>
  <c r="AY24" i="2"/>
  <c r="AO24" i="2" s="1"/>
  <c r="AQ24" i="2" s="1"/>
  <c r="AS24" i="2"/>
  <c r="D404" i="2"/>
  <c r="C404" i="2"/>
  <c r="R297" i="2" l="1"/>
  <c r="E404" i="2"/>
  <c r="S297" i="2" l="1"/>
  <c r="F404" i="2"/>
  <c r="Q298" i="2" l="1"/>
  <c r="P298" i="2"/>
  <c r="C405" i="2"/>
  <c r="D405" i="2"/>
  <c r="E405" i="2" s="1"/>
  <c r="R298" i="2" l="1"/>
  <c r="F405" i="2"/>
  <c r="S298" i="2" l="1"/>
  <c r="C406" i="2"/>
  <c r="D406" i="2"/>
  <c r="E406" i="2" s="1"/>
  <c r="P299" i="2" l="1"/>
  <c r="Q299" i="2"/>
  <c r="F406" i="2"/>
  <c r="R299" i="2" l="1"/>
  <c r="C407" i="2"/>
  <c r="D407" i="2"/>
  <c r="E407" i="2" s="1"/>
  <c r="F407" i="2" s="1"/>
  <c r="S299" i="2" l="1"/>
  <c r="D408" i="2"/>
  <c r="E408" i="2" s="1"/>
  <c r="F408" i="2" s="1"/>
  <c r="C408" i="2"/>
  <c r="P300" i="2" l="1"/>
  <c r="Q300" i="2"/>
  <c r="D409" i="2"/>
  <c r="E409" i="2" s="1"/>
  <c r="F409" i="2" s="1"/>
  <c r="C409" i="2"/>
  <c r="R300" i="2" l="1"/>
  <c r="D410" i="2"/>
  <c r="E410" i="2" s="1"/>
  <c r="F410" i="2" s="1"/>
  <c r="C410" i="2"/>
  <c r="S300" i="2" l="1"/>
  <c r="D411" i="2"/>
  <c r="E411" i="2" s="1"/>
  <c r="F411" i="2" s="1"/>
  <c r="C411" i="2"/>
  <c r="P301" i="2" l="1"/>
  <c r="Q301" i="2"/>
  <c r="D412" i="2"/>
  <c r="E412" i="2" s="1"/>
  <c r="F412" i="2" s="1"/>
  <c r="C412" i="2"/>
  <c r="R301" i="2" l="1"/>
  <c r="C413" i="2"/>
  <c r="D413" i="2"/>
  <c r="D414" i="2" s="1"/>
  <c r="S301" i="2" l="1"/>
  <c r="E413" i="2"/>
  <c r="Q302" i="2" l="1"/>
  <c r="R302" i="2" s="1"/>
  <c r="S302" i="2"/>
  <c r="P302" i="2"/>
  <c r="E414" i="2"/>
  <c r="F413" i="2"/>
  <c r="P303" i="2" l="1"/>
  <c r="Q303" i="2"/>
  <c r="R303" i="2" s="1"/>
  <c r="S303" i="2" s="1"/>
  <c r="D417" i="2"/>
  <c r="C417" i="2"/>
  <c r="P304" i="2" l="1"/>
  <c r="Q304" i="2"/>
  <c r="R304" i="2" s="1"/>
  <c r="S304" i="2" s="1"/>
  <c r="E417" i="2"/>
  <c r="P305" i="2" l="1"/>
  <c r="Q305" i="2"/>
  <c r="R305" i="2" s="1"/>
  <c r="S305" i="2" s="1"/>
  <c r="F417" i="2"/>
  <c r="Q306" i="2" l="1"/>
  <c r="R306" i="2" s="1"/>
  <c r="S306" i="2" s="1"/>
  <c r="P306" i="2"/>
  <c r="C418" i="2"/>
  <c r="D418" i="2"/>
  <c r="E418" i="2" s="1"/>
  <c r="P307" i="2" l="1"/>
  <c r="Q307" i="2"/>
  <c r="R307" i="2" s="1"/>
  <c r="S307" i="2" s="1"/>
  <c r="F418" i="2"/>
  <c r="P308" i="2" l="1"/>
  <c r="Q308" i="2"/>
  <c r="D419" i="2"/>
  <c r="E419" i="2" s="1"/>
  <c r="C419" i="2"/>
  <c r="R308" i="2" l="1"/>
  <c r="Q309" i="2"/>
  <c r="AU25" i="2" s="1"/>
  <c r="AM25" i="2" s="1"/>
  <c r="F419" i="2"/>
  <c r="R309" i="2" l="1"/>
  <c r="S308" i="2"/>
  <c r="C420" i="2"/>
  <c r="D420" i="2"/>
  <c r="E420" i="2" s="1"/>
  <c r="AS25" i="2" l="1"/>
  <c r="AY25" i="2"/>
  <c r="AO25" i="2" s="1"/>
  <c r="AQ25" i="2" s="1"/>
  <c r="Q312" i="2"/>
  <c r="P312" i="2"/>
  <c r="F420" i="2"/>
  <c r="R312" i="2" l="1"/>
  <c r="C421" i="2"/>
  <c r="D421" i="2"/>
  <c r="E421" i="2" s="1"/>
  <c r="F421" i="2" s="1"/>
  <c r="S312" i="2" l="1"/>
  <c r="C422" i="2"/>
  <c r="D422" i="2"/>
  <c r="E422" i="2" s="1"/>
  <c r="F422" i="2" s="1"/>
  <c r="P313" i="2" l="1"/>
  <c r="Q313" i="2"/>
  <c r="D423" i="2"/>
  <c r="E423" i="2" s="1"/>
  <c r="F423" i="2" s="1"/>
  <c r="C423" i="2"/>
  <c r="R313" i="2" l="1"/>
  <c r="D424" i="2"/>
  <c r="E424" i="2" s="1"/>
  <c r="F424" i="2" s="1"/>
  <c r="C424" i="2"/>
  <c r="S313" i="2" l="1"/>
  <c r="D425" i="2"/>
  <c r="E425" i="2" s="1"/>
  <c r="F425" i="2" s="1"/>
  <c r="C425" i="2"/>
  <c r="P314" i="2" l="1"/>
  <c r="Q314" i="2"/>
  <c r="C426" i="2"/>
  <c r="D426" i="2"/>
  <c r="E426" i="2" s="1"/>
  <c r="F426" i="2" s="1"/>
  <c r="R314" i="2" l="1"/>
  <c r="C427" i="2"/>
  <c r="D427" i="2"/>
  <c r="E427" i="2" s="1"/>
  <c r="F427" i="2" s="1"/>
  <c r="S314" i="2" l="1"/>
  <c r="D428" i="2"/>
  <c r="D429" i="2" s="1"/>
  <c r="C428" i="2"/>
  <c r="P315" i="2" l="1"/>
  <c r="Q315" i="2"/>
  <c r="E428" i="2"/>
  <c r="E429" i="2" s="1"/>
  <c r="F428" i="2" l="1"/>
  <c r="D432" i="2" s="1"/>
  <c r="E432" i="2" s="1"/>
  <c r="F432" i="2" s="1"/>
  <c r="R315" i="2"/>
  <c r="C432" i="2" l="1"/>
  <c r="S315" i="2"/>
  <c r="D433" i="2"/>
  <c r="E433" i="2" s="1"/>
  <c r="C433" i="2"/>
  <c r="Q316" i="2" l="1"/>
  <c r="P316" i="2"/>
  <c r="F433" i="2"/>
  <c r="R316" i="2" l="1"/>
  <c r="C434" i="2"/>
  <c r="D434" i="2"/>
  <c r="S316" i="2" l="1"/>
  <c r="E434" i="2"/>
  <c r="Q317" i="2" l="1"/>
  <c r="R317" i="2" s="1"/>
  <c r="S317" i="2" s="1"/>
  <c r="P317" i="2"/>
  <c r="F434" i="2"/>
  <c r="P318" i="2" l="1"/>
  <c r="Q318" i="2"/>
  <c r="R318" i="2" s="1"/>
  <c r="S318" i="2" s="1"/>
  <c r="D435" i="2"/>
  <c r="E435" i="2" s="1"/>
  <c r="F435" i="2" s="1"/>
  <c r="C435" i="2"/>
  <c r="P319" i="2" l="1"/>
  <c r="Q319" i="2"/>
  <c r="R319" i="2" s="1"/>
  <c r="S319" i="2" s="1"/>
  <c r="D436" i="2"/>
  <c r="E436" i="2" s="1"/>
  <c r="F436" i="2" s="1"/>
  <c r="C436" i="2"/>
  <c r="Q320" i="2" l="1"/>
  <c r="R320" i="2" s="1"/>
  <c r="S320" i="2" s="1"/>
  <c r="P320" i="2"/>
  <c r="C437" i="2"/>
  <c r="D437" i="2"/>
  <c r="E437" i="2" s="1"/>
  <c r="F437" i="2" s="1"/>
  <c r="P321" i="2" l="1"/>
  <c r="Q321" i="2"/>
  <c r="R321" i="2" s="1"/>
  <c r="S321" i="2" s="1"/>
  <c r="C438" i="2"/>
  <c r="D438" i="2"/>
  <c r="E438" i="2" s="1"/>
  <c r="F438" i="2" s="1"/>
  <c r="P322" i="2" l="1"/>
  <c r="Q322" i="2"/>
  <c r="R322" i="2" s="1"/>
  <c r="S322" i="2" s="1"/>
  <c r="D439" i="2"/>
  <c r="E439" i="2" s="1"/>
  <c r="F439" i="2" s="1"/>
  <c r="C439" i="2"/>
  <c r="Q323" i="2" l="1"/>
  <c r="P323" i="2"/>
  <c r="C440" i="2"/>
  <c r="D440" i="2"/>
  <c r="E440" i="2" s="1"/>
  <c r="F440" i="2" s="1"/>
  <c r="R323" i="2" l="1"/>
  <c r="Q324" i="2"/>
  <c r="AU26" i="2" s="1"/>
  <c r="AM26" i="2" s="1"/>
  <c r="D441" i="2"/>
  <c r="E441" i="2" s="1"/>
  <c r="F441" i="2" s="1"/>
  <c r="C441" i="2"/>
  <c r="R324" i="2" l="1"/>
  <c r="S323" i="2"/>
  <c r="C442" i="2"/>
  <c r="D442" i="2"/>
  <c r="E442" i="2" s="1"/>
  <c r="F442" i="2" s="1"/>
  <c r="Q327" i="2" l="1"/>
  <c r="P327" i="2"/>
  <c r="AY26" i="2"/>
  <c r="AO26" i="2" s="1"/>
  <c r="AQ26" i="2" s="1"/>
  <c r="AS26" i="2"/>
  <c r="C443" i="2"/>
  <c r="D443" i="2"/>
  <c r="D444" i="2" s="1"/>
  <c r="R327" i="2" l="1"/>
  <c r="E443" i="2"/>
  <c r="S327" i="2" l="1"/>
  <c r="E444" i="2"/>
  <c r="F443" i="2"/>
  <c r="Q328" i="2" l="1"/>
  <c r="P328" i="2"/>
  <c r="D447" i="2"/>
  <c r="E447" i="2" s="1"/>
  <c r="C447" i="2"/>
  <c r="R328" i="2" l="1"/>
  <c r="F447" i="2"/>
  <c r="S328" i="2" l="1"/>
  <c r="D448" i="2"/>
  <c r="C448" i="2"/>
  <c r="Q329" i="2" l="1"/>
  <c r="P329" i="2"/>
  <c r="E448" i="2"/>
  <c r="R329" i="2" l="1"/>
  <c r="F448" i="2"/>
  <c r="S329" i="2" l="1"/>
  <c r="D449" i="2"/>
  <c r="E449" i="2" s="1"/>
  <c r="C449" i="2"/>
  <c r="P330" i="2" l="1"/>
  <c r="Q330" i="2"/>
  <c r="F449" i="2"/>
  <c r="R330" i="2" l="1"/>
  <c r="D450" i="2"/>
  <c r="E450" i="2" s="1"/>
  <c r="F450" i="2" s="1"/>
  <c r="C450" i="2"/>
  <c r="S330" i="2" l="1"/>
  <c r="D451" i="2"/>
  <c r="E451" i="2" s="1"/>
  <c r="F451" i="2" s="1"/>
  <c r="C451" i="2"/>
  <c r="Q331" i="2" l="1"/>
  <c r="P331" i="2"/>
  <c r="D452" i="2"/>
  <c r="E452" i="2" s="1"/>
  <c r="F452" i="2" s="1"/>
  <c r="C452" i="2"/>
  <c r="R331" i="2" l="1"/>
  <c r="C453" i="2"/>
  <c r="D453" i="2"/>
  <c r="E453" i="2" s="1"/>
  <c r="F453" i="2" s="1"/>
  <c r="S331" i="2" l="1"/>
  <c r="C454" i="2"/>
  <c r="D454" i="2"/>
  <c r="E454" i="2" s="1"/>
  <c r="F454" i="2" s="1"/>
  <c r="P332" i="2" l="1"/>
  <c r="Q332" i="2"/>
  <c r="R332" i="2" s="1"/>
  <c r="S332" i="2" s="1"/>
  <c r="C455" i="2"/>
  <c r="D455" i="2"/>
  <c r="E455" i="2" s="1"/>
  <c r="F455" i="2" s="1"/>
  <c r="P333" i="2" l="1"/>
  <c r="Q333" i="2"/>
  <c r="R333" i="2" s="1"/>
  <c r="S333" i="2" s="1"/>
  <c r="C456" i="2"/>
  <c r="D456" i="2"/>
  <c r="E456" i="2" s="1"/>
  <c r="F456" i="2" s="1"/>
  <c r="P334" i="2" l="1"/>
  <c r="Q334" i="2"/>
  <c r="R334" i="2" s="1"/>
  <c r="S334" i="2" s="1"/>
  <c r="C457" i="2"/>
  <c r="D457" i="2"/>
  <c r="E457" i="2" s="1"/>
  <c r="F457" i="2" s="1"/>
  <c r="P335" i="2" l="1"/>
  <c r="Q335" i="2"/>
  <c r="R335" i="2" s="1"/>
  <c r="S335" i="2" s="1"/>
  <c r="C458" i="2"/>
  <c r="D458" i="2"/>
  <c r="D459" i="2" s="1"/>
  <c r="P336" i="2" l="1"/>
  <c r="Q336" i="2"/>
  <c r="R336" i="2" s="1"/>
  <c r="S336" i="2" s="1"/>
  <c r="E458" i="2"/>
  <c r="P337" i="2" l="1"/>
  <c r="Q337" i="2"/>
  <c r="R337" i="2" s="1"/>
  <c r="S337" i="2" s="1"/>
  <c r="E459" i="2"/>
  <c r="F458" i="2"/>
  <c r="Q338" i="2" l="1"/>
  <c r="P338" i="2"/>
  <c r="D462" i="2"/>
  <c r="C462" i="2"/>
  <c r="R338" i="2" l="1"/>
  <c r="Q339" i="2"/>
  <c r="AU27" i="2" s="1"/>
  <c r="AM27" i="2" s="1"/>
  <c r="E462" i="2"/>
  <c r="R339" i="2" l="1"/>
  <c r="S338" i="2"/>
  <c r="F462" i="2"/>
  <c r="P342" i="2" l="1"/>
  <c r="Q342" i="2"/>
  <c r="AY27" i="2"/>
  <c r="AO27" i="2" s="1"/>
  <c r="AQ27" i="2" s="1"/>
  <c r="AS27" i="2"/>
  <c r="C463" i="2"/>
  <c r="D463" i="2"/>
  <c r="R342" i="2" l="1"/>
  <c r="E463" i="2"/>
  <c r="S342" i="2" l="1"/>
  <c r="F463" i="2"/>
  <c r="P343" i="2" l="1"/>
  <c r="Q343" i="2"/>
  <c r="D464" i="2"/>
  <c r="E464" i="2" s="1"/>
  <c r="F464" i="2" s="1"/>
  <c r="C464" i="2"/>
  <c r="R343" i="2" l="1"/>
  <c r="C465" i="2"/>
  <c r="D465" i="2"/>
  <c r="E465" i="2" s="1"/>
  <c r="S343" i="2" l="1"/>
  <c r="F465" i="2"/>
  <c r="P344" i="2" l="1"/>
  <c r="Q344" i="2"/>
  <c r="D466" i="2"/>
  <c r="E466" i="2" s="1"/>
  <c r="F466" i="2" s="1"/>
  <c r="C466" i="2"/>
  <c r="R344" i="2" l="1"/>
  <c r="C467" i="2"/>
  <c r="D467" i="2"/>
  <c r="E467" i="2" s="1"/>
  <c r="F467" i="2" s="1"/>
  <c r="S344" i="2" l="1"/>
  <c r="D468" i="2"/>
  <c r="E468" i="2" s="1"/>
  <c r="F468" i="2" s="1"/>
  <c r="C468" i="2"/>
  <c r="Q345" i="2" l="1"/>
  <c r="P345" i="2"/>
  <c r="C469" i="2"/>
  <c r="D469" i="2"/>
  <c r="E469" i="2" s="1"/>
  <c r="F469" i="2" s="1"/>
  <c r="R345" i="2" l="1"/>
  <c r="C470" i="2"/>
  <c r="D470" i="2"/>
  <c r="E470" i="2" s="1"/>
  <c r="F470" i="2" s="1"/>
  <c r="S345" i="2" l="1"/>
  <c r="C471" i="2"/>
  <c r="D471" i="2"/>
  <c r="E471" i="2" s="1"/>
  <c r="F471" i="2" s="1"/>
  <c r="P346" i="2" l="1"/>
  <c r="Q346" i="2"/>
  <c r="C472" i="2"/>
  <c r="D472" i="2"/>
  <c r="E472" i="2" s="1"/>
  <c r="F472" i="2" s="1"/>
  <c r="R346" i="2" l="1"/>
  <c r="C473" i="2"/>
  <c r="D473" i="2"/>
  <c r="D474" i="2" s="1"/>
  <c r="S346" i="2" l="1"/>
  <c r="E473" i="2"/>
  <c r="P347" i="2" l="1"/>
  <c r="Q347" i="2"/>
  <c r="R347" i="2" s="1"/>
  <c r="S347" i="2" s="1"/>
  <c r="E474" i="2"/>
  <c r="F473" i="2"/>
  <c r="Q348" i="2" l="1"/>
  <c r="R348" i="2" s="1"/>
  <c r="S348" i="2"/>
  <c r="P348" i="2"/>
  <c r="P349" i="2" l="1"/>
  <c r="Q349" i="2"/>
  <c r="R349" i="2" s="1"/>
  <c r="S349" i="2" s="1"/>
  <c r="P350" i="2" l="1"/>
  <c r="Q350" i="2"/>
  <c r="R350" i="2" s="1"/>
  <c r="S350" i="2" s="1"/>
  <c r="Q351" i="2" l="1"/>
  <c r="R351" i="2" s="1"/>
  <c r="S351" i="2" s="1"/>
  <c r="P351" i="2"/>
  <c r="P352" i="2" l="1"/>
  <c r="Q352" i="2"/>
  <c r="R352" i="2" s="1"/>
  <c r="S352" i="2" s="1"/>
  <c r="P353" i="2" l="1"/>
  <c r="Q353" i="2"/>
  <c r="R353" i="2" l="1"/>
  <c r="Q354" i="2"/>
  <c r="AU28" i="2" s="1"/>
  <c r="AM28" i="2" s="1"/>
  <c r="R354" i="2" l="1"/>
  <c r="S353" i="2"/>
  <c r="P357" i="2" l="1"/>
  <c r="Q357" i="2"/>
  <c r="AY28" i="2"/>
  <c r="AO28" i="2" s="1"/>
  <c r="AQ28" i="2" s="1"/>
  <c r="AS28" i="2"/>
  <c r="R357" i="2" l="1"/>
  <c r="S357" i="2" l="1"/>
  <c r="P358" i="2" l="1"/>
  <c r="Q358" i="2"/>
  <c r="R358" i="2" l="1"/>
  <c r="S358" i="2" l="1"/>
  <c r="Q359" i="2" l="1"/>
  <c r="P359" i="2"/>
  <c r="R359" i="2" l="1"/>
  <c r="S359" i="2" l="1"/>
  <c r="Q360" i="2" l="1"/>
  <c r="P360" i="2"/>
  <c r="R360" i="2" l="1"/>
  <c r="S360" i="2" l="1"/>
  <c r="P361" i="2" l="1"/>
  <c r="Q361" i="2"/>
  <c r="R361" i="2" l="1"/>
  <c r="S361" i="2" l="1"/>
  <c r="P362" i="2" l="1"/>
  <c r="Q362" i="2"/>
  <c r="R362" i="2" s="1"/>
  <c r="S362" i="2" s="1"/>
  <c r="Q363" i="2" l="1"/>
  <c r="R363" i="2" s="1"/>
  <c r="S363" i="2" s="1"/>
  <c r="P363" i="2"/>
  <c r="Q364" i="2" l="1"/>
  <c r="R364" i="2" s="1"/>
  <c r="S364" i="2" s="1"/>
  <c r="P364" i="2"/>
  <c r="P365" i="2" l="1"/>
  <c r="Q365" i="2"/>
  <c r="R365" i="2" s="1"/>
  <c r="S365" i="2" s="1"/>
  <c r="Q366" i="2" l="1"/>
  <c r="R366" i="2" s="1"/>
  <c r="S366" i="2" s="1"/>
  <c r="P366" i="2"/>
  <c r="P367" i="2" l="1"/>
  <c r="Q367" i="2"/>
  <c r="R367" i="2" s="1"/>
  <c r="S367" i="2" s="1"/>
  <c r="P368" i="2" l="1"/>
  <c r="Q368" i="2"/>
  <c r="R368" i="2" l="1"/>
  <c r="Q369" i="2"/>
  <c r="AU29" i="2" s="1"/>
  <c r="AM29" i="2" s="1"/>
  <c r="R369" i="2" l="1"/>
  <c r="S368" i="2"/>
  <c r="Q372" i="2" l="1"/>
  <c r="P372" i="2"/>
  <c r="AY29" i="2"/>
  <c r="AO29" i="2" s="1"/>
  <c r="AQ29" i="2" s="1"/>
  <c r="AS29" i="2"/>
  <c r="R372" i="2" l="1"/>
  <c r="S372" i="2" l="1"/>
  <c r="Q373" i="2" l="1"/>
  <c r="P373" i="2"/>
  <c r="R373" i="2" l="1"/>
  <c r="S373" i="2" l="1"/>
  <c r="P374" i="2" l="1"/>
  <c r="Q374" i="2"/>
  <c r="R374" i="2" l="1"/>
  <c r="S374" i="2" l="1"/>
  <c r="Q375" i="2" l="1"/>
  <c r="P375" i="2"/>
  <c r="R375" i="2" l="1"/>
  <c r="S375" i="2" l="1"/>
  <c r="P376" i="2" l="1"/>
  <c r="Q376" i="2"/>
  <c r="R376" i="2" l="1"/>
  <c r="S376" i="2" l="1"/>
  <c r="P377" i="2" l="1"/>
  <c r="Q377" i="2"/>
  <c r="R377" i="2" s="1"/>
  <c r="S377" i="2" s="1"/>
  <c r="Q378" i="2" l="1"/>
  <c r="R378" i="2" s="1"/>
  <c r="S378" i="2" s="1"/>
  <c r="P378" i="2"/>
  <c r="Q379" i="2" l="1"/>
  <c r="R379" i="2" s="1"/>
  <c r="P379" i="2"/>
  <c r="S379" i="2"/>
  <c r="Q380" i="2" l="1"/>
  <c r="R380" i="2" s="1"/>
  <c r="S380" i="2" s="1"/>
  <c r="P380" i="2"/>
  <c r="Q381" i="2" l="1"/>
  <c r="R381" i="2" s="1"/>
  <c r="S381" i="2"/>
  <c r="P381" i="2"/>
  <c r="P382" i="2" l="1"/>
  <c r="Q382" i="2"/>
  <c r="R382" i="2" s="1"/>
  <c r="S382" i="2" s="1"/>
  <c r="P383" i="2" l="1"/>
  <c r="Q383" i="2"/>
  <c r="R383" i="2" l="1"/>
  <c r="Q384" i="2"/>
  <c r="AU30" i="2" s="1"/>
  <c r="AM30" i="2" s="1"/>
  <c r="R384" i="2" l="1"/>
  <c r="S383" i="2"/>
  <c r="Q387" i="2" l="1"/>
  <c r="P387" i="2"/>
  <c r="AY30" i="2"/>
  <c r="AO30" i="2" s="1"/>
  <c r="AQ30" i="2" s="1"/>
  <c r="AS30" i="2"/>
  <c r="R387" i="2" l="1"/>
  <c r="S387" i="2" l="1"/>
  <c r="Q388" i="2" l="1"/>
  <c r="P388" i="2"/>
  <c r="R388" i="2" l="1"/>
  <c r="S388" i="2" l="1"/>
  <c r="Q389" i="2" l="1"/>
  <c r="P389" i="2"/>
  <c r="R389" i="2" l="1"/>
  <c r="S389" i="2" l="1"/>
  <c r="Q390" i="2" l="1"/>
  <c r="P390" i="2"/>
  <c r="R390" i="2" l="1"/>
  <c r="S390" i="2" l="1"/>
  <c r="P391" i="2" l="1"/>
  <c r="Q391" i="2"/>
  <c r="R391" i="2" l="1"/>
  <c r="S391" i="2" l="1"/>
  <c r="Q392" i="2" l="1"/>
  <c r="R392" i="2" s="1"/>
  <c r="S392" i="2"/>
  <c r="P392" i="2"/>
  <c r="Q393" i="2" l="1"/>
  <c r="R393" i="2" s="1"/>
  <c r="S393" i="2"/>
  <c r="P393" i="2"/>
  <c r="P394" i="2" l="1"/>
  <c r="Q394" i="2"/>
  <c r="R394" i="2" s="1"/>
  <c r="S394" i="2" s="1"/>
  <c r="P395" i="2" l="1"/>
  <c r="Q395" i="2"/>
  <c r="R395" i="2" s="1"/>
  <c r="S395" i="2" s="1"/>
  <c r="P396" i="2" l="1"/>
  <c r="Q396" i="2"/>
  <c r="R396" i="2" s="1"/>
  <c r="S396" i="2" s="1"/>
  <c r="P397" i="2" l="1"/>
  <c r="Q397" i="2"/>
  <c r="R397" i="2" s="1"/>
  <c r="S397" i="2" s="1"/>
  <c r="Q398" i="2" l="1"/>
  <c r="P398" i="2"/>
  <c r="R398" i="2" l="1"/>
  <c r="Q399" i="2"/>
  <c r="AU31" i="2" s="1"/>
  <c r="AM31" i="2" s="1"/>
  <c r="R399" i="2" l="1"/>
  <c r="S398" i="2"/>
  <c r="Q402" i="2" l="1"/>
  <c r="P402" i="2"/>
  <c r="AY31" i="2"/>
  <c r="AO31" i="2" s="1"/>
  <c r="AQ31" i="2" s="1"/>
  <c r="AS31" i="2"/>
  <c r="R402" i="2" l="1"/>
  <c r="S402" i="2" l="1"/>
  <c r="P403" i="2" l="1"/>
  <c r="Q403" i="2"/>
  <c r="R403" i="2" l="1"/>
  <c r="S403" i="2" l="1"/>
  <c r="P404" i="2" l="1"/>
  <c r="Q404" i="2"/>
  <c r="R404" i="2" l="1"/>
  <c r="S404" i="2" l="1"/>
  <c r="P405" i="2" l="1"/>
  <c r="Q405" i="2"/>
  <c r="R405" i="2" l="1"/>
  <c r="S405" i="2" l="1"/>
  <c r="Q406" i="2" l="1"/>
  <c r="P406" i="2"/>
  <c r="R406" i="2" l="1"/>
  <c r="S406" i="2" l="1"/>
  <c r="Q407" i="2" l="1"/>
  <c r="R407" i="2" s="1"/>
  <c r="S407" i="2" s="1"/>
  <c r="P407" i="2"/>
  <c r="Q408" i="2" l="1"/>
  <c r="R408" i="2" s="1"/>
  <c r="S408" i="2" s="1"/>
  <c r="P408" i="2"/>
  <c r="P409" i="2" l="1"/>
  <c r="Q409" i="2"/>
  <c r="R409" i="2" s="1"/>
  <c r="S409" i="2" s="1"/>
  <c r="P410" i="2" l="1"/>
  <c r="Q410" i="2"/>
  <c r="R410" i="2" s="1"/>
  <c r="S410" i="2" s="1"/>
  <c r="P411" i="2" l="1"/>
  <c r="Q411" i="2"/>
  <c r="R411" i="2" s="1"/>
  <c r="S411" i="2" s="1"/>
  <c r="Q412" i="2" l="1"/>
  <c r="R412" i="2" s="1"/>
  <c r="S412" i="2" s="1"/>
  <c r="P412" i="2"/>
  <c r="P413" i="2" l="1"/>
  <c r="Q413" i="2"/>
  <c r="R413" i="2" l="1"/>
  <c r="Q414" i="2"/>
  <c r="AU32" i="2" s="1"/>
  <c r="AM32" i="2" s="1"/>
  <c r="R414" i="2" l="1"/>
  <c r="S413" i="2"/>
  <c r="Q417" i="2" l="1"/>
  <c r="P417" i="2"/>
  <c r="AY32" i="2"/>
  <c r="AO32" i="2" s="1"/>
  <c r="AQ32" i="2" s="1"/>
  <c r="AS32" i="2"/>
  <c r="R417" i="2" l="1"/>
  <c r="S417" i="2" l="1"/>
  <c r="P418" i="2" l="1"/>
  <c r="Q418" i="2"/>
  <c r="R418" i="2" l="1"/>
  <c r="S418" i="2" l="1"/>
  <c r="P419" i="2" l="1"/>
  <c r="Q419" i="2"/>
  <c r="R419" i="2" l="1"/>
  <c r="S419" i="2" l="1"/>
  <c r="P420" i="2" l="1"/>
  <c r="Q420" i="2"/>
  <c r="R420" i="2" l="1"/>
  <c r="S420" i="2" l="1"/>
  <c r="P421" i="2" l="1"/>
  <c r="Q421" i="2"/>
  <c r="R421" i="2" l="1"/>
  <c r="S421" i="2" l="1"/>
  <c r="P422" i="2" l="1"/>
  <c r="Q422" i="2"/>
  <c r="R422" i="2" s="1"/>
  <c r="S422" i="2" s="1"/>
  <c r="Q423" i="2" l="1"/>
  <c r="R423" i="2" s="1"/>
  <c r="S423" i="2"/>
  <c r="P423" i="2"/>
  <c r="Q424" i="2" l="1"/>
  <c r="R424" i="2" s="1"/>
  <c r="S424" i="2" s="1"/>
  <c r="P424" i="2"/>
  <c r="P425" i="2" l="1"/>
  <c r="Q425" i="2"/>
  <c r="R425" i="2" s="1"/>
  <c r="S425" i="2" s="1"/>
  <c r="Q426" i="2" l="1"/>
  <c r="R426" i="2" s="1"/>
  <c r="S426" i="2" s="1"/>
  <c r="P426" i="2"/>
  <c r="Q427" i="2" l="1"/>
  <c r="R427" i="2" s="1"/>
  <c r="S427" i="2" s="1"/>
  <c r="P427" i="2"/>
  <c r="P428" i="2" l="1"/>
  <c r="Q428" i="2"/>
  <c r="R428" i="2" l="1"/>
  <c r="Q429" i="2"/>
  <c r="AU33" i="2" s="1"/>
  <c r="AM33" i="2" s="1"/>
  <c r="R429" i="2" l="1"/>
  <c r="S428" i="2"/>
  <c r="P432" i="2" l="1"/>
  <c r="Q432" i="2"/>
  <c r="AY33" i="2"/>
  <c r="AO33" i="2" s="1"/>
  <c r="AQ33" i="2" s="1"/>
  <c r="AS33" i="2"/>
  <c r="R432" i="2" l="1"/>
  <c r="S432" i="2" l="1"/>
  <c r="Q433" i="2" l="1"/>
  <c r="P433" i="2"/>
  <c r="R433" i="2" l="1"/>
  <c r="S433" i="2" l="1"/>
  <c r="Q434" i="2" l="1"/>
  <c r="P434" i="2"/>
  <c r="R434" i="2" l="1"/>
  <c r="S434" i="2" l="1"/>
  <c r="P435" i="2" l="1"/>
  <c r="Q435" i="2"/>
  <c r="R435" i="2" l="1"/>
  <c r="S435" i="2" l="1"/>
  <c r="P436" i="2" l="1"/>
  <c r="Q436" i="2"/>
  <c r="R436" i="2" l="1"/>
  <c r="S436" i="2" l="1"/>
  <c r="P437" i="2" l="1"/>
  <c r="Q437" i="2"/>
  <c r="R437" i="2" s="1"/>
  <c r="S437" i="2" s="1"/>
  <c r="P438" i="2" l="1"/>
  <c r="Q438" i="2"/>
  <c r="R438" i="2" s="1"/>
  <c r="S438" i="2" s="1"/>
  <c r="Q439" i="2" l="1"/>
  <c r="R439" i="2" s="1"/>
  <c r="S439" i="2"/>
  <c r="P439" i="2"/>
  <c r="P440" i="2" l="1"/>
  <c r="Q440" i="2"/>
  <c r="R440" i="2" s="1"/>
  <c r="S440" i="2" s="1"/>
  <c r="P441" i="2" l="1"/>
  <c r="Q441" i="2"/>
  <c r="R441" i="2" s="1"/>
  <c r="S441" i="2" s="1"/>
  <c r="P442" i="2" l="1"/>
  <c r="Q442" i="2"/>
  <c r="R442" i="2" s="1"/>
  <c r="S442" i="2" s="1"/>
  <c r="Q443" i="2" l="1"/>
  <c r="P443" i="2"/>
  <c r="R443" i="2" l="1"/>
  <c r="Q444" i="2"/>
  <c r="AU34" i="2" s="1"/>
  <c r="AM34" i="2" s="1"/>
  <c r="R444" i="2" l="1"/>
  <c r="S443" i="2"/>
  <c r="P447" i="2" l="1"/>
  <c r="Q447" i="2"/>
  <c r="AY34" i="2"/>
  <c r="AO34" i="2" s="1"/>
  <c r="AQ34" i="2" s="1"/>
  <c r="AS34" i="2"/>
  <c r="R447" i="2" l="1"/>
  <c r="S447" i="2" l="1"/>
  <c r="Q448" i="2" l="1"/>
  <c r="P448" i="2"/>
  <c r="R448" i="2" l="1"/>
  <c r="S448" i="2" l="1"/>
  <c r="Q449" i="2" l="1"/>
  <c r="P449" i="2"/>
  <c r="R449" i="2" l="1"/>
  <c r="S449" i="2" l="1"/>
  <c r="P450" i="2" l="1"/>
  <c r="Q450" i="2"/>
  <c r="R450" i="2" l="1"/>
  <c r="S450" i="2" l="1"/>
  <c r="Q451" i="2" l="1"/>
  <c r="P451" i="2"/>
  <c r="R451" i="2" l="1"/>
  <c r="S451" i="2" l="1"/>
  <c r="P452" i="2" l="1"/>
  <c r="Q452" i="2"/>
  <c r="R452" i="2" s="1"/>
  <c r="S452" i="2" s="1"/>
  <c r="Q453" i="2" l="1"/>
  <c r="R453" i="2" s="1"/>
  <c r="S453" i="2"/>
  <c r="P453" i="2"/>
  <c r="P454" i="2" l="1"/>
  <c r="Q454" i="2"/>
  <c r="R454" i="2" s="1"/>
  <c r="S454" i="2" s="1"/>
  <c r="Q455" i="2" l="1"/>
  <c r="R455" i="2" s="1"/>
  <c r="S455" i="2" s="1"/>
  <c r="P455" i="2"/>
  <c r="P456" i="2" l="1"/>
  <c r="Q456" i="2"/>
  <c r="R456" i="2" s="1"/>
  <c r="S456" i="2" s="1"/>
  <c r="Q457" i="2" l="1"/>
  <c r="R457" i="2" s="1"/>
  <c r="S457" i="2" s="1"/>
  <c r="P457" i="2"/>
  <c r="Q458" i="2" l="1"/>
  <c r="P458" i="2"/>
  <c r="R458" i="2" l="1"/>
  <c r="Q459" i="2"/>
  <c r="AU35" i="2" s="1"/>
  <c r="AM35" i="2" s="1"/>
  <c r="R459" i="2" l="1"/>
  <c r="S458" i="2"/>
  <c r="P462" i="2" l="1"/>
  <c r="Q462" i="2"/>
  <c r="AY35" i="2"/>
  <c r="AO35" i="2" s="1"/>
  <c r="AQ35" i="2" s="1"/>
  <c r="AS35" i="2"/>
  <c r="R462" i="2" l="1"/>
  <c r="S462" i="2" l="1"/>
  <c r="Q463" i="2" l="1"/>
  <c r="P463" i="2"/>
  <c r="R463" i="2" l="1"/>
  <c r="S463" i="2" l="1"/>
  <c r="Q464" i="2" l="1"/>
  <c r="P464" i="2"/>
  <c r="R464" i="2" l="1"/>
  <c r="S464" i="2" l="1"/>
  <c r="P465" i="2" l="1"/>
  <c r="Q465" i="2"/>
  <c r="R465" i="2" l="1"/>
  <c r="S465" i="2" l="1"/>
  <c r="P466" i="2" l="1"/>
  <c r="Q466" i="2"/>
  <c r="R466" i="2" l="1"/>
  <c r="S466" i="2" l="1"/>
  <c r="P467" i="2" l="1"/>
  <c r="Q467" i="2"/>
  <c r="R467" i="2" s="1"/>
  <c r="S467" i="2" s="1"/>
  <c r="Q468" i="2" l="1"/>
  <c r="R468" i="2" s="1"/>
  <c r="S468" i="2"/>
  <c r="P468" i="2"/>
  <c r="Q469" i="2" l="1"/>
  <c r="R469" i="2" s="1"/>
  <c r="S469" i="2" s="1"/>
  <c r="P469" i="2"/>
  <c r="Q470" i="2" l="1"/>
  <c r="R470" i="2" s="1"/>
  <c r="S470" i="2" s="1"/>
  <c r="P470" i="2"/>
  <c r="P471" i="2" l="1"/>
  <c r="Q471" i="2"/>
  <c r="R471" i="2" s="1"/>
  <c r="S471" i="2" s="1"/>
  <c r="Q472" i="2" l="1"/>
  <c r="R472" i="2" s="1"/>
  <c r="S472" i="2"/>
  <c r="P472" i="2"/>
  <c r="Q473" i="2" l="1"/>
  <c r="P473" i="2"/>
  <c r="R473" i="2" l="1"/>
  <c r="Q474" i="2"/>
  <c r="AU36" i="2" s="1"/>
  <c r="AM36" i="2" s="1"/>
  <c r="R474" i="2" l="1"/>
  <c r="S473" i="2"/>
  <c r="AY36" i="2" l="1"/>
  <c r="AO36" i="2" s="1"/>
  <c r="AQ36" i="2" s="1"/>
  <c r="AS3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Ritzenthaler</author>
    <author>Michael Blank</author>
  </authors>
  <commentList>
    <comment ref="G34" authorId="0" shapeId="0" xr:uid="{B799B08B-FC08-4710-BA8D-4FC77B2DC40D}">
      <text>
        <r>
          <rPr>
            <b/>
            <sz val="9"/>
            <color rgb="FF000000"/>
            <rFont val="Tahoma"/>
            <family val="2"/>
          </rPr>
          <t>TTM vacancy needs to be under 10% for the past 90 days to qualify for agency debt</t>
        </r>
      </text>
    </comment>
    <comment ref="AC70" authorId="1" shapeId="0" xr:uid="{2513D719-866B-46CC-8CC1-13C3E0264C0E}">
      <text>
        <r>
          <rPr>
            <sz val="8"/>
            <color indexed="81"/>
            <rFont val="Tahoma"/>
            <family val="2"/>
          </rPr>
          <t>Landlord pays water.
Tenants pay electric and gas.</t>
        </r>
      </text>
    </comment>
    <comment ref="AD70" authorId="1" shapeId="0" xr:uid="{BDB470D8-435F-4796-8235-F832C1873297}">
      <text>
        <r>
          <rPr>
            <sz val="8"/>
            <color indexed="81"/>
            <rFont val="Tahoma"/>
            <family val="2"/>
          </rPr>
          <t>Landlord pays water  &amp; Gas. Tenants pay electric.</t>
        </r>
      </text>
    </comment>
    <comment ref="X74" authorId="1" shapeId="0" xr:uid="{0B95AE85-D245-4DD7-B222-DB377D339D1A}">
      <text>
        <r>
          <rPr>
            <b/>
            <sz val="8"/>
            <color indexed="81"/>
            <rFont val="Tahoma"/>
            <family val="2"/>
          </rPr>
          <t>Michael Blank:</t>
        </r>
        <r>
          <rPr>
            <sz val="8"/>
            <color indexed="81"/>
            <rFont val="Tahoma"/>
            <family val="2"/>
          </rPr>
          <t xml:space="preserve">
Pest Control is $25 per unit. Also consider landscaping, janitorial, snow removal. Estimate $200 per unit all in.</t>
        </r>
      </text>
    </comment>
  </commentList>
</comments>
</file>

<file path=xl/sharedStrings.xml><?xml version="1.0" encoding="utf-8"?>
<sst xmlns="http://schemas.openxmlformats.org/spreadsheetml/2006/main" count="699" uniqueCount="246">
  <si>
    <t>Revenue</t>
  </si>
  <si>
    <t>Vacancy Factor</t>
  </si>
  <si>
    <t>Loss to Lease</t>
  </si>
  <si>
    <t>Expenses</t>
  </si>
  <si>
    <t>Taxes</t>
  </si>
  <si>
    <t>Insurance</t>
  </si>
  <si>
    <t>Utilities</t>
  </si>
  <si>
    <t>R&amp;M</t>
  </si>
  <si>
    <t>Total Expenses</t>
  </si>
  <si>
    <t>Expense Ratio</t>
  </si>
  <si>
    <t>Net Operating Income</t>
  </si>
  <si>
    <t>Source/Use of Funds</t>
  </si>
  <si>
    <t>Debt</t>
  </si>
  <si>
    <t>Equity</t>
  </si>
  <si>
    <t>Total Revenue</t>
  </si>
  <si>
    <t>Late Fee/Sec Dep Income</t>
  </si>
  <si>
    <t>Gross Potential Rent</t>
  </si>
  <si>
    <t>Advertising</t>
  </si>
  <si>
    <t>CAPEX Reserve</t>
  </si>
  <si>
    <t>Purchase Price</t>
  </si>
  <si>
    <t>Asking Price</t>
  </si>
  <si>
    <t>Unit Mix/Rent Assumptions</t>
  </si>
  <si>
    <t>stabilized, start 3% expense bumps</t>
  </si>
  <si>
    <t>Market Cap Rate</t>
  </si>
  <si>
    <t>Value of Property</t>
  </si>
  <si>
    <t>Purchase Price Cap Rate</t>
  </si>
  <si>
    <t>Interest Rate</t>
  </si>
  <si>
    <t>Amortization Period (years)</t>
  </si>
  <si>
    <t>Yearly Payments</t>
  </si>
  <si>
    <t>Total CAPEX</t>
  </si>
  <si>
    <t>per unit</t>
  </si>
  <si>
    <t>CAPEX</t>
  </si>
  <si>
    <t>Total Funds Needed to Close</t>
  </si>
  <si>
    <t>LTV</t>
  </si>
  <si>
    <t>SENIOR LOAN AMORTIZATION SCHEDULE</t>
  </si>
  <si>
    <t>INTEREST ONLY LOAN SCHEDULE</t>
  </si>
  <si>
    <t>REFINANCE LOAN SCHEDULE</t>
  </si>
  <si>
    <t>REFINANCE INTEREST ONLY</t>
  </si>
  <si>
    <t>SUB LOAN</t>
  </si>
  <si>
    <t>AMORTIZATION SUMMARY</t>
  </si>
  <si>
    <t>Annual Interest</t>
  </si>
  <si>
    <t>Annual Principal</t>
  </si>
  <si>
    <t>TOTAL PRINCIPAL</t>
  </si>
  <si>
    <t>Loan Balance</t>
  </si>
  <si>
    <t>Loan 1 Interest</t>
  </si>
  <si>
    <t>Loan 2 Interest</t>
  </si>
  <si>
    <t>Loan 1 Princ</t>
  </si>
  <si>
    <t>Loan 2 Princ</t>
  </si>
  <si>
    <t>Data Input:</t>
  </si>
  <si>
    <t>Year</t>
  </si>
  <si>
    <t>Beginning Balance:</t>
  </si>
  <si>
    <t>Ann. Int. Rate:</t>
  </si>
  <si>
    <t>Term, Months:</t>
  </si>
  <si>
    <t>First Pmt Month:</t>
  </si>
  <si>
    <t xml:space="preserve">   Calculated Pmt:</t>
  </si>
  <si>
    <t>First Pmt Year:</t>
  </si>
  <si>
    <t>Enter</t>
  </si>
  <si>
    <t>Fully</t>
  </si>
  <si>
    <t xml:space="preserve">Interest </t>
  </si>
  <si>
    <t>Principal</t>
  </si>
  <si>
    <t>Amortizing</t>
  </si>
  <si>
    <t>Pay #</t>
  </si>
  <si>
    <t>INTEREST</t>
  </si>
  <si>
    <t>PRINCIPAL</t>
  </si>
  <si>
    <t>BALANCE</t>
  </si>
  <si>
    <t>Rate</t>
  </si>
  <si>
    <t>Payments</t>
  </si>
  <si>
    <t xml:space="preserve">Balance </t>
  </si>
  <si>
    <t>Payment</t>
  </si>
  <si>
    <t>Debt Service Coverage Ratio</t>
  </si>
  <si>
    <t>Pre-Tax Net Income</t>
  </si>
  <si>
    <t>Investors</t>
  </si>
  <si>
    <t>Preferred Return</t>
  </si>
  <si>
    <t>Manager</t>
  </si>
  <si>
    <t>Profit on Sale</t>
  </si>
  <si>
    <t>Cash Out Refi</t>
  </si>
  <si>
    <t>Assumed LTV</t>
  </si>
  <si>
    <t>Assumed Closing Costs</t>
  </si>
  <si>
    <t>Assumed Interest</t>
  </si>
  <si>
    <t>Assumed Term (years)</t>
  </si>
  <si>
    <t>Refi</t>
  </si>
  <si>
    <t>New Balance</t>
  </si>
  <si>
    <t>Asset Management</t>
  </si>
  <si>
    <t>Catch Up Preferred Return</t>
  </si>
  <si>
    <t>Preferred Return Shortfall</t>
  </si>
  <si>
    <t>Excess Distribution Income</t>
  </si>
  <si>
    <t>Syndication/Acquisition</t>
  </si>
  <si>
    <t>Total Pref &amp; Split</t>
  </si>
  <si>
    <t>Annual Investor COC Return</t>
  </si>
  <si>
    <t>{"InputDetection":0,"RecalcMode":0,"Layout":0,"LayoutSamePagesHeightEnabled":false,"Theme":{"BgColor":"#FFFFFFFF","BgImage":"","InputBorderStyle":2,"AppliedTheme":""},"SmartphoneSettings":{"ViewportLock":true,"UseOldViewEngine":false,"EnableZoom":false,"EnableSwipe":false,"HideToolbar":false,"InheritBackgroundColor":false,"CheckboxFlavor":1,"ShowBubble":false},"Name":"","Flavor":-1,"Edition":0,"CopyProtect":{"IsEnabled":false,"DomainName":""},"HideSscPoweredlogo":false,"AspnetConfig":{"BrowseUrl":"http://localhost/ssc","FileExtension":0},"NodeSecureLoginEnabled":false,"SmartphoneTheme":1,"Toolbar":{"Position":1,"IsSubmit":true,"IsPrint":true,"IsPrintAll":false,"IsReset":true,"IsUpdate":true},"ConfigureSubmit":{"IsShowCaptcha":false,"IsUseSscWebServer":true,"ReceiverCode":"robert@remequitygroup.com","IsFreeService":false,"IsAdvanceService":false,"IsSecureEmail":false,"IsDemonstrationService":true,"AfterSuccessfulSubmit":"","AfterFailSubmit":"","AfterCancelWizard":"","IsUseOwnWebServer":false,"OwnWebServerURL":"","OwnWebServerTarget":"","SubmitTarget":0},"IgnoreBgInputCell":false,"ButtonStyle":0,"ResponsiveDesignDisabled":false,"HideLookupRange":false,"BrowserStorageEnabled":false,"RealtimeSyncEnabled":true,"GoogleAnalyticsTrackingId":"","GoogleApiKey":"","ChartSelected":3,"ChartYAxisFixed":false}</t>
  </si>
  <si>
    <t>{"IsHide":false,"HiddenInExcel":false,"SheetId":-1,"Name":"Analysis","Guid":"HYMFVU","Index":1,"VisibleRange":"","SheetTheme":{"TabColor":"","BodyColor":"","BodyImage":""}}</t>
  </si>
  <si>
    <t>{"BrowserAndLocation":{"ConversionPath":"C:\\Users\\Robert Ritzenthaler\\Documents\\SpreadsheetConverter","SelectedBrowsers":[]},"SpreadsheetServer":{"Username":"","Password":"","ServerUrl":""},"ConfigureSubmitDefault":{"Email":"robert@remequitygroup.com","Free":false,"Advanced":false,"AdvancedSecured":false,"Demo":true},"MessageBubble":{"Close":false,"TopMsg":0},"CustomizeTheme":{"Theme":""},"QrSetting":{"ShowOnConversion":true},"CongratsPage":{"LastOpenedVersion":""},"WordPressPluginSetting":{"IsPluginInstalled":false},"Preferences":{"IsAdvancedSettingModelInitialize":true,"IsCaptchaInitialize":true,"IsNodeSettingInitialize":false,"IsRequiredFieldModalInitialize":true,"IsSubmitDialogModelInitialize":true,"IsToolbarButtonModelInitialize":true,"IsWizardButtonModelInitialize":true,"ReadFromHidden":false,"AdvancedSetting":null,"NodeSetting":{"LoginText":{"LoginButtonText":"Login","PageDescription":"Restricted access only","LoginErrorMessage":"Authentication failed, please check your username and password.","PlaceholderPassword":"password","PlaceholderUsername":"username / email","UserExtraMessage":""}},"Captcha":{"Heading":"Enter the number displayed below.","Message":"This is to verify that you are a human visitor, to prevent automated form submissions.","OkButton":"OK","CancelButton":"Cancel","ErrorMessage":"Your answer is incorrect, please try again."},"RequiredField":{"ErrorMessage":"The fields with the red border are required or invalid.","OkButton":"OK","DDLDefaultRequiredText":"Please Select"},"WizardButton":{"Next":"Next","Previous":"Previous","Cancel":"Cancel","Finish":"Finish"},"ToolbarButton":{"Submit":"Submit","Print":"Print","PrintAll":"Print All","Reset":"Reset","Update":"Update","Back":"Back"},"SubmitDialog":{"SubmitDialogHeading":"Submit Successful.","SubmitDialogDesc":"The form was successfully submitted.","BeforeSubmitDesc":"The form is being submitted.","OfflineHeading":"Save until online","OfflineDesc":"You are currently offline and the submit failed. Do you want to save the submit and send it later when you are online.","OfflineConfirm":"Do you want to save?","OfflineSubmitHeading":"Offline forms submit confirmation","OfflineSubmitDesc":"There are Offline form(s), which are now ready to submit in server.","OfflineSubmitConfirm":"Do you want to submit?","FailOfflineHeading":"Offline Form submit failed","FailOfflineDesc":"Unable to connect to the Internet. Please try submitting the offline forms later in internet connection.","OfflineSubmitWait":"It may take sometime to finish all submits depending on the size of offline forms and internet connection.","OfflineSubmitWaitCounter":"Left","OfflineSubmitError":"Submit error: Please try later."}},"UxPreferences":null}</t>
  </si>
  <si>
    <t>Investor Portion of Profit on Sale</t>
  </si>
  <si>
    <t>Return of Capital</t>
  </si>
  <si>
    <t>Sale (annual total cash flow)</t>
  </si>
  <si>
    <t>Annual Investor COC Return (Refi)</t>
  </si>
  <si>
    <t>Syndication/Exit Strategy</t>
  </si>
  <si>
    <t>Project Income (No Sale or Refi)</t>
  </si>
  <si>
    <t>Unleveraged IRR</t>
  </si>
  <si>
    <t>Leveraged IRR</t>
  </si>
  <si>
    <t>Leveraged COC (Annual)</t>
  </si>
  <si>
    <t>Payroll</t>
  </si>
  <si>
    <t>Portion of Reno Budget in Loan</t>
  </si>
  <si>
    <t>Landscaping</t>
  </si>
  <si>
    <t>Trash Removal</t>
  </si>
  <si>
    <t>Working Capital</t>
  </si>
  <si>
    <t>Closing Costs</t>
  </si>
  <si>
    <t>IRR (5 yr sale)</t>
  </si>
  <si>
    <t>IRR (10 yr sale)</t>
  </si>
  <si>
    <t>Asset Mgmt Fee (% REV)</t>
  </si>
  <si>
    <t>{"IsHide":false,"HiddenInExcel":false,"SheetId":-1,"Name":"Amortization","Guid":"JSDOBR","Index":2,"VisibleRange":"","SheetTheme":{"TabColor":"","BodyColor":"","BodyImage":""}}</t>
  </si>
  <si>
    <t>{"IsHide":false,"HiddenInExcel":false,"SheetId":-1,"Name":"Capex","Guid":"7VYHCJ","Index":3,"VisibleRange":"","SheetTheme":{"TabColor":"","BodyColor":"","BodyImage":""}}</t>
  </si>
  <si>
    <t>{"IsHide":false,"HiddenInExcel":false,"SheetId":-1,"Name":"Sheet1","Guid":"RBYUAY","Index":4,"VisibleRange":"","SheetTheme":{"TabColor":"","BodyColor":"","BodyImage":""}}</t>
  </si>
  <si>
    <t>Transaction Costs</t>
  </si>
  <si>
    <t>Remaining Property Taxes</t>
  </si>
  <si>
    <t>Acquisition Fee</t>
  </si>
  <si>
    <t>of purchase price</t>
  </si>
  <si>
    <t>Total Transaction Costs</t>
  </si>
  <si>
    <t>Financing Costs</t>
  </si>
  <si>
    <t>Legal</t>
  </si>
  <si>
    <t>Lender Fees</t>
  </si>
  <si>
    <t>Broker Fee</t>
  </si>
  <si>
    <t>Consultant Fee</t>
  </si>
  <si>
    <t>Lender Escrows</t>
  </si>
  <si>
    <t>Lender Application Fee/3rd Parties</t>
  </si>
  <si>
    <t>Survey &amp; Title Policy</t>
  </si>
  <si>
    <t>Total Financing Costs</t>
  </si>
  <si>
    <t>Capital Improvement Costs</t>
  </si>
  <si>
    <t>Reserves &amp; Contingency</t>
  </si>
  <si>
    <t>Capital Reserves</t>
  </si>
  <si>
    <t>Description</t>
  </si>
  <si>
    <t>Total</t>
  </si>
  <si>
    <t>Total Reserves &amp; Prepaids</t>
  </si>
  <si>
    <t>Total Uses</t>
  </si>
  <si>
    <t>of loan amount</t>
  </si>
  <si>
    <t xml:space="preserve">Renovations </t>
  </si>
  <si>
    <t>Units</t>
  </si>
  <si>
    <t>Cost/unit</t>
  </si>
  <si>
    <t>Cost</t>
  </si>
  <si>
    <t>Uses of Cash</t>
  </si>
  <si>
    <t>Supplemental Portion</t>
  </si>
  <si>
    <t>Supplemental Loan (net proceeds)</t>
  </si>
  <si>
    <t>Principle (supplemental)</t>
  </si>
  <si>
    <t>Interest (supplemental)</t>
  </si>
  <si>
    <t>SALE</t>
  </si>
  <si>
    <t>Sale (End of Year 5)</t>
  </si>
  <si>
    <t>Sale (End of year 10)</t>
  </si>
  <si>
    <t>Principle (primary)</t>
  </si>
  <si>
    <t>Interest (primary)</t>
  </si>
  <si>
    <t>Average</t>
  </si>
  <si>
    <t>stabilized, 3% rent bumps</t>
  </si>
  <si>
    <t>Utility Reimbursement</t>
  </si>
  <si>
    <t>Security</t>
  </si>
  <si>
    <t>Unit Type</t>
  </si>
  <si>
    <t>Unit Size</t>
  </si>
  <si>
    <t>Total Units</t>
  </si>
  <si>
    <t>Reno</t>
  </si>
  <si>
    <t>Y</t>
  </si>
  <si>
    <t>Units Available</t>
  </si>
  <si>
    <t>Gross Effective Rent</t>
  </si>
  <si>
    <t>TTM</t>
  </si>
  <si>
    <t>Avg Monthly Rent</t>
  </si>
  <si>
    <t>$/unit</t>
  </si>
  <si>
    <t>Net Cash Flow</t>
  </si>
  <si>
    <t>Property Management</t>
  </si>
  <si>
    <t>Contract Services</t>
  </si>
  <si>
    <t>Pet Rent/W/D Rent</t>
  </si>
  <si>
    <t>1BR</t>
  </si>
  <si>
    <t>2BR</t>
  </si>
  <si>
    <t>EXTERIOR</t>
  </si>
  <si>
    <t>Painting</t>
  </si>
  <si>
    <t>Stainless steel appliance package</t>
  </si>
  <si>
    <t>Upgrade to plank flooring throughout</t>
  </si>
  <si>
    <t>Replace faucets with low flow</t>
  </si>
  <si>
    <t>Pressure wash</t>
  </si>
  <si>
    <t>Parking lot striping</t>
  </si>
  <si>
    <t>Parking lot curbs</t>
  </si>
  <si>
    <t>Concrete repairs</t>
  </si>
  <si>
    <t xml:space="preserve">Other Income </t>
  </si>
  <si>
    <t>Rules of Thumb</t>
  </si>
  <si>
    <t>Sales Price</t>
  </si>
  <si>
    <t># Units</t>
  </si>
  <si>
    <t>Effective Gross Income</t>
  </si>
  <si>
    <t>General Rule of Thumb</t>
  </si>
  <si>
    <t xml:space="preserve">From Appraiser  </t>
  </si>
  <si>
    <t>Other Properties</t>
  </si>
  <si>
    <t>My Rule of Thumb</t>
  </si>
  <si>
    <t>Per Year</t>
  </si>
  <si>
    <t>Property 1</t>
  </si>
  <si>
    <t>Property 2</t>
  </si>
  <si>
    <t>EXPENSES</t>
  </si>
  <si>
    <t>Comment</t>
  </si>
  <si>
    <t>Per Unit</t>
  </si>
  <si>
    <t>Real Estate Taxes</t>
  </si>
  <si>
    <t>.01 of Sales Price</t>
  </si>
  <si>
    <t>0.007 of sales price</t>
  </si>
  <si>
    <t>$200 per unit per year</t>
  </si>
  <si>
    <t>$200 per unit</t>
  </si>
  <si>
    <t>Electric</t>
  </si>
  <si>
    <t>$100/unit for common areas. If owner pays, use $100/unit/month.</t>
  </si>
  <si>
    <t>Gas</t>
  </si>
  <si>
    <t>If owner pays, $100/unit/month</t>
  </si>
  <si>
    <t>Water and Sewer</t>
  </si>
  <si>
    <t>$400/unit</t>
  </si>
  <si>
    <t>Legal Fees</t>
  </si>
  <si>
    <t>$150 per unit</t>
  </si>
  <si>
    <t>Management Fees</t>
  </si>
  <si>
    <t>5-10% of Gross Income</t>
  </si>
  <si>
    <t xml:space="preserve">Repairs and Maintenance </t>
  </si>
  <si>
    <t>10% of Gross Income</t>
  </si>
  <si>
    <t>General/Admin</t>
  </si>
  <si>
    <t>Varies</t>
  </si>
  <si>
    <t>Other</t>
  </si>
  <si>
    <t>Replacement Reserves</t>
  </si>
  <si>
    <t>$250 per unit</t>
  </si>
  <si>
    <t>Due Diligence</t>
  </si>
  <si>
    <t xml:space="preserve">Legal </t>
  </si>
  <si>
    <t xml:space="preserve">Exterior CAPEX Budget (one time) </t>
  </si>
  <si>
    <t>Interior Renovation Budget (per unit)</t>
  </si>
  <si>
    <t>Admin</t>
  </si>
  <si>
    <t>A</t>
  </si>
  <si>
    <t>AP</t>
  </si>
  <si>
    <t>B1</t>
  </si>
  <si>
    <t>B1P</t>
  </si>
  <si>
    <t>B2</t>
  </si>
  <si>
    <t>B2P</t>
  </si>
  <si>
    <t>Concession</t>
  </si>
  <si>
    <t>Bad Debt</t>
  </si>
  <si>
    <t>Admin Fee</t>
  </si>
  <si>
    <t>Early Termination</t>
  </si>
  <si>
    <t>Damages</t>
  </si>
  <si>
    <t>Premium Rent</t>
  </si>
  <si>
    <t>Cable/Internet</t>
  </si>
  <si>
    <t>Application Fee</t>
  </si>
  <si>
    <t>Price per door</t>
  </si>
  <si>
    <t>Exterior wood/roof repairs</t>
  </si>
  <si>
    <t>Make Ready</t>
  </si>
  <si>
    <t>10yr Payout</t>
  </si>
  <si>
    <t>Replace doors</t>
  </si>
  <si>
    <t>Cabinet hardware</t>
  </si>
  <si>
    <t>Vanity sink</t>
  </si>
  <si>
    <t>21 delinquent leases with new tenants</t>
  </si>
  <si>
    <t>The Arbors, Maple Shade, NJ</t>
  </si>
  <si>
    <t>studio</t>
  </si>
  <si>
    <t>efficiency</t>
  </si>
  <si>
    <t>3BR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</si>
</sst>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&quot;$&quot;#,##0"/>
    <numFmt numFmtId="167" formatCode="0.000&quot;%&quot;"/>
    <numFmt numFmtId="168" formatCode="&quot;$&quot;#,##0.00"/>
    <numFmt numFmtId="169" formatCode="_(* #,##0_);_(* \(#,##0\);_(* &quot;-&quot;??_);_(@_)"/>
    <numFmt numFmtId="170" formatCode="0.000%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mbria"/>
      <family val="1"/>
    </font>
    <font>
      <b/>
      <sz val="10"/>
      <color theme="0"/>
      <name val="Cambria"/>
      <family val="1"/>
    </font>
    <font>
      <sz val="10"/>
      <color theme="0"/>
      <name val="Cambria"/>
      <family val="1"/>
    </font>
    <font>
      <b/>
      <sz val="10"/>
      <color theme="1"/>
      <name val="Cambria"/>
      <family val="1"/>
    </font>
    <font>
      <sz val="10"/>
      <color rgb="FF000000"/>
      <name val="Cambria"/>
      <family val="1"/>
    </font>
    <font>
      <b/>
      <sz val="20"/>
      <color theme="4" tint="-0.249977111117893"/>
      <name val="Cambria"/>
      <family val="1"/>
    </font>
    <font>
      <sz val="10"/>
      <name val="Cambria"/>
      <family val="1"/>
    </font>
    <font>
      <u val="singleAccounting"/>
      <sz val="10"/>
      <color theme="1"/>
      <name val="Cambria"/>
      <family val="1"/>
    </font>
    <font>
      <sz val="10"/>
      <name val="Arial"/>
      <family val="2"/>
    </font>
    <font>
      <b/>
      <sz val="20"/>
      <color theme="4" tint="-0.249977111117893"/>
      <name val="Calibri Light"/>
      <family val="1"/>
      <scheme val="major"/>
    </font>
    <font>
      <sz val="10"/>
      <name val="Calibri Light"/>
      <family val="1"/>
      <scheme val="major"/>
    </font>
    <font>
      <sz val="11"/>
      <name val="Calibri Light"/>
      <family val="1"/>
      <scheme val="major"/>
    </font>
    <font>
      <sz val="11"/>
      <color indexed="8"/>
      <name val="Calibri Light"/>
      <family val="1"/>
      <scheme val="major"/>
    </font>
    <font>
      <b/>
      <sz val="11"/>
      <color theme="0"/>
      <name val="Calibri Light"/>
      <family val="1"/>
      <scheme val="major"/>
    </font>
    <font>
      <b/>
      <sz val="10"/>
      <color indexed="8"/>
      <name val="Calibri Light"/>
      <family val="1"/>
      <scheme val="major"/>
    </font>
    <font>
      <b/>
      <sz val="10"/>
      <name val="Calibri Light"/>
      <family val="1"/>
      <scheme val="major"/>
    </font>
    <font>
      <b/>
      <sz val="11"/>
      <color indexed="8"/>
      <name val="Calibri Light"/>
      <family val="1"/>
      <scheme val="major"/>
    </font>
    <font>
      <sz val="10"/>
      <color theme="0"/>
      <name val="Calibri Light"/>
      <family val="1"/>
      <scheme val="major"/>
    </font>
    <font>
      <sz val="11"/>
      <color theme="0" tint="-4.9989318521683403E-2"/>
      <name val="Calibri Light"/>
      <family val="1"/>
      <scheme val="major"/>
    </font>
    <font>
      <b/>
      <sz val="11"/>
      <name val="Calibri Light"/>
      <family val="1"/>
      <scheme val="major"/>
    </font>
    <font>
      <b/>
      <u/>
      <sz val="11"/>
      <color indexed="8"/>
      <name val="Calibri Light"/>
      <family val="1"/>
      <scheme val="major"/>
    </font>
    <font>
      <u val="singleAccounting"/>
      <sz val="11"/>
      <name val="Calibri Light"/>
      <family val="1"/>
      <scheme val="major"/>
    </font>
    <font>
      <b/>
      <u val="singleAccounting"/>
      <sz val="11"/>
      <name val="Calibri Light"/>
      <family val="1"/>
      <scheme val="major"/>
    </font>
    <font>
      <u/>
      <sz val="11"/>
      <name val="Calibri Light"/>
      <family val="1"/>
      <scheme val="major"/>
    </font>
    <font>
      <b/>
      <sz val="10"/>
      <name val="Cambria"/>
      <family val="1"/>
    </font>
    <font>
      <sz val="11"/>
      <color rgb="FF000000"/>
      <name val="Calibri"/>
      <family val="2"/>
      <scheme val="minor"/>
    </font>
    <font>
      <sz val="10"/>
      <color theme="4" tint="-0.249977111117893"/>
      <name val="Calibri Light"/>
      <family val="1"/>
      <scheme val="major"/>
    </font>
    <font>
      <b/>
      <sz val="10"/>
      <color rgb="FF000000"/>
      <name val="Cambria"/>
      <family val="1"/>
    </font>
    <font>
      <u/>
      <sz val="10"/>
      <name val="Cambria"/>
      <family val="1"/>
    </font>
    <font>
      <b/>
      <sz val="14"/>
      <color theme="0"/>
      <name val="Cambria"/>
      <family val="1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u/>
      <sz val="14"/>
      <color indexed="9"/>
      <name val="Cambria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color indexed="12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rgb="FF000000"/>
      <name val="Times New Roman"/>
      <family val="1"/>
    </font>
    <font>
      <b/>
      <sz val="9"/>
      <color rgb="FF000000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4" borderId="0" applyNumberFormat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6" fillId="0" borderId="0"/>
    <xf numFmtId="0" fontId="12" fillId="0" borderId="0"/>
    <xf numFmtId="44" fontId="12" fillId="0" borderId="0" applyFont="0" applyFill="0" applyBorder="0" applyAlignment="0" applyProtection="0"/>
  </cellStyleXfs>
  <cellXfs count="350">
    <xf numFmtId="0" fontId="0" fillId="0" borderId="0" xfId="0"/>
    <xf numFmtId="0" fontId="4" fillId="0" borderId="0" xfId="0" applyFont="1"/>
    <xf numFmtId="164" fontId="4" fillId="0" borderId="0" xfId="1" applyNumberFormat="1" applyFont="1"/>
    <xf numFmtId="9" fontId="4" fillId="0" borderId="0" xfId="2" applyFont="1"/>
    <xf numFmtId="0" fontId="8" fillId="0" borderId="0" xfId="0" applyFont="1"/>
    <xf numFmtId="165" fontId="4" fillId="0" borderId="1" xfId="2" applyNumberFormat="1" applyFont="1" applyBorder="1"/>
    <xf numFmtId="164" fontId="4" fillId="0" borderId="1" xfId="1" applyNumberFormat="1" applyFont="1" applyBorder="1"/>
    <xf numFmtId="0" fontId="5" fillId="0" borderId="0" xfId="4" applyFont="1" applyFill="1"/>
    <xf numFmtId="0" fontId="3" fillId="0" borderId="0" xfId="4" applyFill="1"/>
    <xf numFmtId="9" fontId="4" fillId="0" borderId="1" xfId="2" applyFont="1" applyBorder="1"/>
    <xf numFmtId="0" fontId="4" fillId="5" borderId="0" xfId="0" applyFont="1" applyFill="1"/>
    <xf numFmtId="164" fontId="4" fillId="5" borderId="0" xfId="1" applyNumberFormat="1" applyFont="1" applyFill="1"/>
    <xf numFmtId="0" fontId="4" fillId="6" borderId="0" xfId="0" applyFont="1" applyFill="1"/>
    <xf numFmtId="0" fontId="4" fillId="6" borderId="0" xfId="5" applyFont="1" applyFill="1"/>
    <xf numFmtId="164" fontId="4" fillId="6" borderId="0" xfId="5" applyNumberFormat="1" applyFont="1" applyFill="1"/>
    <xf numFmtId="164" fontId="4" fillId="6" borderId="0" xfId="1" applyNumberFormat="1" applyFont="1" applyFill="1"/>
    <xf numFmtId="0" fontId="5" fillId="5" borderId="0" xfId="4" applyFont="1" applyFill="1"/>
    <xf numFmtId="0" fontId="6" fillId="5" borderId="0" xfId="4" applyFont="1" applyFill="1"/>
    <xf numFmtId="0" fontId="6" fillId="5" borderId="0" xfId="4" applyFont="1" applyFill="1" applyAlignment="1">
      <alignment horizontal="right"/>
    </xf>
    <xf numFmtId="164" fontId="5" fillId="5" borderId="0" xfId="4" applyNumberFormat="1" applyFont="1" applyFill="1"/>
    <xf numFmtId="0" fontId="5" fillId="5" borderId="0" xfId="0" applyFont="1" applyFill="1"/>
    <xf numFmtId="0" fontId="9" fillId="0" borderId="0" xfId="0" applyFont="1" applyAlignment="1">
      <alignment vertical="center"/>
    </xf>
    <xf numFmtId="49" fontId="4" fillId="0" borderId="0" xfId="0" applyNumberFormat="1" applyFont="1" applyAlignment="1">
      <alignment horizontal="left"/>
    </xf>
    <xf numFmtId="0" fontId="3" fillId="5" borderId="0" xfId="4" applyFill="1"/>
    <xf numFmtId="0" fontId="10" fillId="0" borderId="0" xfId="4" applyFont="1" applyFill="1"/>
    <xf numFmtId="164" fontId="7" fillId="7" borderId="0" xfId="1" applyNumberFormat="1" applyFont="1" applyFill="1"/>
    <xf numFmtId="0" fontId="7" fillId="7" borderId="0" xfId="0" applyFont="1" applyFill="1"/>
    <xf numFmtId="0" fontId="5" fillId="7" borderId="0" xfId="6" applyFont="1" applyFill="1"/>
    <xf numFmtId="164" fontId="5" fillId="7" borderId="0" xfId="6" applyNumberFormat="1" applyFont="1" applyFill="1"/>
    <xf numFmtId="164" fontId="4" fillId="0" borderId="0" xfId="0" applyNumberFormat="1" applyFont="1"/>
    <xf numFmtId="0" fontId="4" fillId="8" borderId="0" xfId="0" applyFont="1" applyFill="1"/>
    <xf numFmtId="164" fontId="4" fillId="8" borderId="0" xfId="1" applyNumberFormat="1" applyFont="1" applyFill="1"/>
    <xf numFmtId="10" fontId="4" fillId="6" borderId="0" xfId="2" applyNumberFormat="1" applyFont="1" applyFill="1"/>
    <xf numFmtId="164" fontId="11" fillId="0" borderId="0" xfId="1" applyNumberFormat="1" applyFont="1"/>
    <xf numFmtId="164" fontId="11" fillId="8" borderId="0" xfId="1" applyNumberFormat="1" applyFont="1" applyFill="1"/>
    <xf numFmtId="9" fontId="4" fillId="8" borderId="0" xfId="2" applyFont="1" applyFill="1"/>
    <xf numFmtId="0" fontId="13" fillId="0" borderId="4" xfId="8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9" borderId="0" xfId="0" applyFont="1" applyFill="1" applyAlignment="1">
      <alignment vertical="center"/>
    </xf>
    <xf numFmtId="0" fontId="16" fillId="9" borderId="0" xfId="0" applyFont="1" applyFill="1" applyAlignment="1">
      <alignment vertical="center"/>
    </xf>
    <xf numFmtId="0" fontId="18" fillId="0" borderId="0" xfId="0" applyFont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0" fontId="20" fillId="9" borderId="0" xfId="0" applyFont="1" applyFill="1" applyAlignment="1">
      <alignment vertical="center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 wrapText="1"/>
    </xf>
    <xf numFmtId="0" fontId="16" fillId="9" borderId="0" xfId="0" applyFont="1" applyFill="1" applyAlignment="1">
      <alignment horizontal="right" vertical="center"/>
    </xf>
    <xf numFmtId="166" fontId="15" fillId="9" borderId="0" xfId="0" applyNumberFormat="1" applyFont="1" applyFill="1" applyAlignment="1">
      <alignment horizontal="right" vertical="center"/>
    </xf>
    <xf numFmtId="0" fontId="15" fillId="9" borderId="0" xfId="0" applyFont="1" applyFill="1" applyAlignment="1">
      <alignment horizontal="right" vertical="center"/>
    </xf>
    <xf numFmtId="10" fontId="15" fillId="9" borderId="0" xfId="0" applyNumberFormat="1" applyFont="1" applyFill="1" applyAlignment="1">
      <alignment horizontal="right" vertical="center"/>
    </xf>
    <xf numFmtId="0" fontId="16" fillId="9" borderId="0" xfId="0" applyFont="1" applyFill="1" applyAlignment="1">
      <alignment horizontal="left" vertical="center"/>
    </xf>
    <xf numFmtId="4" fontId="15" fillId="9" borderId="0" xfId="0" applyNumberFormat="1" applyFont="1" applyFill="1" applyAlignment="1">
      <alignment horizontal="right" vertical="center"/>
    </xf>
    <xf numFmtId="167" fontId="15" fillId="9" borderId="0" xfId="0" applyNumberFormat="1" applyFont="1" applyFill="1" applyAlignment="1">
      <alignment horizontal="right" vertical="center"/>
    </xf>
    <xf numFmtId="0" fontId="21" fillId="0" borderId="0" xfId="0" applyFont="1" applyAlignment="1">
      <alignment vertical="center"/>
    </xf>
    <xf numFmtId="4" fontId="14" fillId="0" borderId="0" xfId="0" applyNumberFormat="1" applyFont="1" applyAlignment="1">
      <alignment horizontal="right" vertical="center"/>
    </xf>
    <xf numFmtId="1" fontId="15" fillId="9" borderId="0" xfId="0" applyNumberFormat="1" applyFont="1" applyFill="1" applyAlignment="1">
      <alignment horizontal="right" vertical="center"/>
    </xf>
    <xf numFmtId="168" fontId="15" fillId="9" borderId="0" xfId="0" applyNumberFormat="1" applyFont="1" applyFill="1" applyAlignment="1">
      <alignment horizontal="right" vertical="center"/>
    </xf>
    <xf numFmtId="4" fontId="14" fillId="0" borderId="0" xfId="0" applyNumberFormat="1" applyFont="1" applyAlignment="1">
      <alignment horizontal="center" vertical="center"/>
    </xf>
    <xf numFmtId="14" fontId="22" fillId="9" borderId="5" xfId="0" applyNumberFormat="1" applyFont="1" applyFill="1" applyBorder="1" applyAlignment="1">
      <alignment vertical="center"/>
    </xf>
    <xf numFmtId="168" fontId="16" fillId="9" borderId="5" xfId="0" applyNumberFormat="1" applyFont="1" applyFill="1" applyBorder="1" applyAlignment="1">
      <alignment vertical="center"/>
    </xf>
    <xf numFmtId="0" fontId="16" fillId="9" borderId="5" xfId="0" applyFont="1" applyFill="1" applyBorder="1" applyAlignment="1">
      <alignment horizontal="right" vertical="center"/>
    </xf>
    <xf numFmtId="14" fontId="16" fillId="9" borderId="5" xfId="0" applyNumberFormat="1" applyFont="1" applyFill="1" applyBorder="1" applyAlignment="1">
      <alignment horizontal="right" vertical="center"/>
    </xf>
    <xf numFmtId="169" fontId="15" fillId="9" borderId="0" xfId="7" applyNumberFormat="1" applyFont="1" applyFill="1" applyAlignment="1">
      <alignment vertical="center"/>
    </xf>
    <xf numFmtId="169" fontId="23" fillId="9" borderId="0" xfId="7" applyNumberFormat="1" applyFont="1" applyFill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169" fontId="15" fillId="9" borderId="0" xfId="7" applyNumberFormat="1" applyFont="1" applyFill="1" applyAlignment="1">
      <alignment horizontal="center" vertical="center"/>
    </xf>
    <xf numFmtId="0" fontId="24" fillId="9" borderId="0" xfId="0" applyFont="1" applyFill="1" applyAlignment="1">
      <alignment horizontal="right" vertical="center"/>
    </xf>
    <xf numFmtId="169" fontId="25" fillId="9" borderId="0" xfId="7" applyNumberFormat="1" applyFont="1" applyFill="1" applyAlignment="1">
      <alignment horizontal="center" vertical="center"/>
    </xf>
    <xf numFmtId="169" fontId="26" fillId="9" borderId="0" xfId="7" applyNumberFormat="1" applyFont="1" applyFill="1" applyAlignment="1">
      <alignment horizontal="center" vertical="center"/>
    </xf>
    <xf numFmtId="0" fontId="27" fillId="9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4" fontId="16" fillId="9" borderId="0" xfId="0" applyNumberFormat="1" applyFont="1" applyFill="1" applyAlignment="1">
      <alignment horizontal="right" vertical="center"/>
    </xf>
    <xf numFmtId="168" fontId="15" fillId="9" borderId="0" xfId="7" applyNumberFormat="1" applyFont="1" applyFill="1" applyAlignment="1">
      <alignment vertical="center"/>
    </xf>
    <xf numFmtId="170" fontId="15" fillId="9" borderId="0" xfId="7" applyNumberFormat="1" applyFont="1" applyFill="1" applyAlignment="1">
      <alignment vertical="center"/>
    </xf>
    <xf numFmtId="8" fontId="15" fillId="9" borderId="0" xfId="0" applyNumberFormat="1" applyFont="1" applyFill="1" applyAlignment="1">
      <alignment vertical="center"/>
    </xf>
    <xf numFmtId="8" fontId="15" fillId="0" borderId="0" xfId="0" applyNumberFormat="1" applyFont="1" applyAlignment="1">
      <alignment vertical="center"/>
    </xf>
    <xf numFmtId="0" fontId="20" fillId="9" borderId="6" xfId="0" applyFont="1" applyFill="1" applyBorder="1" applyAlignment="1">
      <alignment vertical="center"/>
    </xf>
    <xf numFmtId="4" fontId="20" fillId="9" borderId="6" xfId="0" applyNumberFormat="1" applyFont="1" applyFill="1" applyBorder="1" applyAlignment="1">
      <alignment horizontal="right" vertical="center"/>
    </xf>
    <xf numFmtId="4" fontId="16" fillId="9" borderId="6" xfId="0" applyNumberFormat="1" applyFont="1" applyFill="1" applyBorder="1" applyAlignment="1">
      <alignment horizontal="right" vertical="center"/>
    </xf>
    <xf numFmtId="4" fontId="20" fillId="9" borderId="0" xfId="0" applyNumberFormat="1" applyFont="1" applyFill="1" applyAlignment="1">
      <alignment horizontal="right" vertical="center"/>
    </xf>
    <xf numFmtId="4" fontId="16" fillId="0" borderId="0" xfId="0" applyNumberFormat="1" applyFont="1" applyAlignment="1">
      <alignment horizontal="right" vertical="center"/>
    </xf>
    <xf numFmtId="0" fontId="5" fillId="10" borderId="0" xfId="6" applyFont="1" applyFill="1"/>
    <xf numFmtId="164" fontId="5" fillId="10" borderId="0" xfId="6" applyNumberFormat="1" applyFont="1" applyFill="1"/>
    <xf numFmtId="164" fontId="7" fillId="10" borderId="0" xfId="1" applyNumberFormat="1" applyFont="1" applyFill="1"/>
    <xf numFmtId="0" fontId="7" fillId="10" borderId="0" xfId="0" applyFont="1" applyFill="1"/>
    <xf numFmtId="10" fontId="4" fillId="0" borderId="1" xfId="2" applyNumberFormat="1" applyFont="1" applyBorder="1"/>
    <xf numFmtId="0" fontId="4" fillId="0" borderId="1" xfId="0" applyFont="1" applyBorder="1"/>
    <xf numFmtId="2" fontId="4" fillId="0" borderId="0" xfId="0" applyNumberFormat="1" applyFont="1"/>
    <xf numFmtId="2" fontId="4" fillId="8" borderId="0" xfId="0" applyNumberFormat="1" applyFont="1" applyFill="1"/>
    <xf numFmtId="165" fontId="4" fillId="0" borderId="0" xfId="2" applyNumberFormat="1" applyFont="1"/>
    <xf numFmtId="164" fontId="4" fillId="8" borderId="1" xfId="1" applyNumberFormat="1" applyFont="1" applyFill="1" applyBorder="1"/>
    <xf numFmtId="10" fontId="4" fillId="6" borderId="1" xfId="2" applyNumberFormat="1" applyFont="1" applyFill="1" applyBorder="1"/>
    <xf numFmtId="164" fontId="4" fillId="6" borderId="1" xfId="1" applyNumberFormat="1" applyFont="1" applyFill="1" applyBorder="1"/>
    <xf numFmtId="164" fontId="11" fillId="0" borderId="0" xfId="0" applyNumberFormat="1" applyFont="1"/>
    <xf numFmtId="1" fontId="4" fillId="0" borderId="1" xfId="2" applyNumberFormat="1" applyFont="1" applyBorder="1"/>
    <xf numFmtId="0" fontId="2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9" fillId="0" borderId="0" xfId="0" applyFont="1" applyAlignment="1">
      <alignment vertical="center"/>
    </xf>
    <xf numFmtId="10" fontId="30" fillId="0" borderId="0" xfId="0" applyNumberFormat="1" applyFont="1" applyAlignment="1">
      <alignment vertical="center"/>
    </xf>
    <xf numFmtId="166" fontId="14" fillId="0" borderId="0" xfId="1" applyNumberFormat="1" applyFont="1" applyAlignment="1">
      <alignment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7" borderId="0" xfId="0" applyFont="1" applyFill="1" applyAlignment="1">
      <alignment vertical="center"/>
    </xf>
    <xf numFmtId="0" fontId="6" fillId="7" borderId="0" xfId="0" applyFont="1" applyFill="1"/>
    <xf numFmtId="165" fontId="5" fillId="7" borderId="0" xfId="2" applyNumberFormat="1" applyFont="1" applyFill="1" applyAlignment="1">
      <alignment vertical="center"/>
    </xf>
    <xf numFmtId="0" fontId="5" fillId="10" borderId="0" xfId="0" applyFont="1" applyFill="1"/>
    <xf numFmtId="0" fontId="31" fillId="0" borderId="0" xfId="0" applyFont="1" applyAlignment="1">
      <alignment vertical="center"/>
    </xf>
    <xf numFmtId="0" fontId="7" fillId="0" borderId="0" xfId="0" applyFont="1"/>
    <xf numFmtId="164" fontId="7" fillId="0" borderId="0" xfId="0" applyNumberFormat="1" applyFont="1"/>
    <xf numFmtId="165" fontId="31" fillId="0" borderId="0" xfId="0" applyNumberFormat="1" applyFont="1" applyAlignment="1">
      <alignment vertical="center"/>
    </xf>
    <xf numFmtId="0" fontId="5" fillId="0" borderId="0" xfId="0" applyFont="1"/>
    <xf numFmtId="164" fontId="5" fillId="0" borderId="0" xfId="0" applyNumberFormat="1" applyFont="1"/>
    <xf numFmtId="165" fontId="5" fillId="0" borderId="0" xfId="2" applyNumberFormat="1" applyFont="1"/>
    <xf numFmtId="44" fontId="11" fillId="0" borderId="0" xfId="0" applyNumberFormat="1" applyFont="1"/>
    <xf numFmtId="44" fontId="10" fillId="0" borderId="0" xfId="1" applyFont="1" applyAlignment="1">
      <alignment vertical="center"/>
    </xf>
    <xf numFmtId="44" fontId="8" fillId="0" borderId="0" xfId="0" applyNumberFormat="1" applyFont="1" applyAlignment="1">
      <alignment vertical="center"/>
    </xf>
    <xf numFmtId="44" fontId="10" fillId="0" borderId="0" xfId="7" applyNumberFormat="1" applyFont="1" applyAlignment="1">
      <alignment vertical="center"/>
    </xf>
    <xf numFmtId="44" fontId="10" fillId="0" borderId="7" xfId="7" applyNumberFormat="1" applyFont="1" applyBorder="1" applyAlignment="1">
      <alignment vertical="center"/>
    </xf>
    <xf numFmtId="164" fontId="8" fillId="0" borderId="0" xfId="0" applyNumberFormat="1" applyFont="1" applyAlignment="1">
      <alignment horizontal="right" vertical="center"/>
    </xf>
    <xf numFmtId="164" fontId="32" fillId="0" borderId="0" xfId="1" applyNumberFormat="1" applyFont="1" applyAlignment="1">
      <alignment horizontal="right" vertical="center"/>
    </xf>
    <xf numFmtId="164" fontId="10" fillId="0" borderId="0" xfId="1" applyNumberFormat="1" applyFont="1" applyAlignment="1">
      <alignment horizontal="right" vertical="center"/>
    </xf>
    <xf numFmtId="164" fontId="10" fillId="0" borderId="0" xfId="7" applyNumberFormat="1" applyFont="1" applyAlignment="1">
      <alignment horizontal="right" vertical="center"/>
    </xf>
    <xf numFmtId="164" fontId="5" fillId="5" borderId="0" xfId="0" applyNumberFormat="1" applyFont="1" applyFill="1"/>
    <xf numFmtId="9" fontId="5" fillId="5" borderId="0" xfId="0" applyNumberFormat="1" applyFont="1" applyFill="1"/>
    <xf numFmtId="9" fontId="5" fillId="7" borderId="0" xfId="6" applyNumberFormat="1" applyFont="1" applyFill="1"/>
    <xf numFmtId="0" fontId="10" fillId="11" borderId="0" xfId="0" applyFont="1" applyFill="1"/>
    <xf numFmtId="9" fontId="10" fillId="11" borderId="0" xfId="2" applyFont="1" applyFill="1"/>
    <xf numFmtId="164" fontId="10" fillId="11" borderId="0" xfId="1" applyNumberFormat="1" applyFont="1" applyFill="1" applyAlignment="1">
      <alignment horizontal="right" vertical="center"/>
    </xf>
    <xf numFmtId="164" fontId="10" fillId="11" borderId="0" xfId="0" applyNumberFormat="1" applyFont="1" applyFill="1"/>
    <xf numFmtId="165" fontId="10" fillId="11" borderId="0" xfId="2" applyNumberFormat="1" applyFont="1" applyFill="1"/>
    <xf numFmtId="164" fontId="6" fillId="0" borderId="0" xfId="1" applyNumberFormat="1" applyFont="1"/>
    <xf numFmtId="164" fontId="6" fillId="0" borderId="0" xfId="0" applyNumberFormat="1" applyFont="1"/>
    <xf numFmtId="10" fontId="6" fillId="0" borderId="0" xfId="2" applyNumberFormat="1" applyFont="1"/>
    <xf numFmtId="0" fontId="6" fillId="0" borderId="0" xfId="0" applyFont="1"/>
    <xf numFmtId="0" fontId="10" fillId="0" borderId="0" xfId="0" applyFont="1"/>
    <xf numFmtId="165" fontId="10" fillId="0" borderId="0" xfId="2" applyNumberFormat="1" applyFont="1"/>
    <xf numFmtId="164" fontId="10" fillId="0" borderId="0" xfId="0" applyNumberFormat="1" applyFont="1"/>
    <xf numFmtId="9" fontId="10" fillId="11" borderId="0" xfId="0" applyNumberFormat="1" applyFont="1" applyFill="1"/>
    <xf numFmtId="0" fontId="33" fillId="2" borderId="0" xfId="4" applyFont="1"/>
    <xf numFmtId="0" fontId="33" fillId="2" borderId="0" xfId="4" applyFont="1" applyAlignment="1">
      <alignment horizontal="center"/>
    </xf>
    <xf numFmtId="0" fontId="34" fillId="3" borderId="0" xfId="5" applyFont="1"/>
    <xf numFmtId="164" fontId="34" fillId="3" borderId="8" xfId="5" applyNumberFormat="1" applyFont="1" applyBorder="1"/>
    <xf numFmtId="0" fontId="35" fillId="0" borderId="0" xfId="0" applyFont="1"/>
    <xf numFmtId="164" fontId="35" fillId="0" borderId="9" xfId="1" applyNumberFormat="1" applyFont="1" applyBorder="1"/>
    <xf numFmtId="164" fontId="34" fillId="3" borderId="9" xfId="5" applyNumberFormat="1" applyFont="1" applyBorder="1"/>
    <xf numFmtId="164" fontId="34" fillId="3" borderId="10" xfId="5" applyNumberFormat="1" applyFont="1" applyBorder="1"/>
    <xf numFmtId="0" fontId="35" fillId="0" borderId="0" xfId="0" applyFont="1" applyAlignment="1">
      <alignment horizontal="center"/>
    </xf>
    <xf numFmtId="0" fontId="34" fillId="3" borderId="0" xfId="5" applyFont="1" applyAlignment="1">
      <alignment horizontal="center"/>
    </xf>
    <xf numFmtId="10" fontId="35" fillId="0" borderId="1" xfId="2" applyNumberFormat="1" applyFont="1" applyBorder="1"/>
    <xf numFmtId="9" fontId="35" fillId="0" borderId="1" xfId="0" applyNumberFormat="1" applyFont="1" applyBorder="1"/>
    <xf numFmtId="0" fontId="33" fillId="2" borderId="0" xfId="4" applyFont="1" applyAlignment="1">
      <alignment horizontal="center" vertical="center"/>
    </xf>
    <xf numFmtId="44" fontId="33" fillId="2" borderId="0" xfId="4" applyNumberFormat="1" applyFont="1" applyAlignment="1">
      <alignment horizontal="center" vertical="center"/>
    </xf>
    <xf numFmtId="44" fontId="33" fillId="2" borderId="0" xfId="4" applyNumberFormat="1" applyFont="1" applyAlignment="1">
      <alignment horizontal="center"/>
    </xf>
    <xf numFmtId="0" fontId="36" fillId="12" borderId="0" xfId="0" applyFont="1" applyFill="1"/>
    <xf numFmtId="0" fontId="36" fillId="12" borderId="0" xfId="0" applyFont="1" applyFill="1" applyAlignment="1">
      <alignment horizontal="center" vertical="center"/>
    </xf>
    <xf numFmtId="44" fontId="36" fillId="12" borderId="0" xfId="1" applyFont="1" applyFill="1" applyAlignment="1">
      <alignment horizontal="center" vertical="center"/>
    </xf>
    <xf numFmtId="44" fontId="36" fillId="12" borderId="0" xfId="1" applyFont="1" applyFill="1" applyAlignment="1">
      <alignment horizontal="center"/>
    </xf>
    <xf numFmtId="0" fontId="34" fillId="3" borderId="0" xfId="5" applyFont="1" applyAlignment="1">
      <alignment vertical="center"/>
    </xf>
    <xf numFmtId="0" fontId="34" fillId="3" borderId="0" xfId="5" applyFont="1" applyAlignment="1">
      <alignment horizontal="left" vertical="center" indent="2"/>
    </xf>
    <xf numFmtId="44" fontId="34" fillId="3" borderId="0" xfId="5" applyNumberFormat="1" applyFont="1"/>
    <xf numFmtId="0" fontId="35" fillId="0" borderId="0" xfId="0" applyFont="1" applyAlignment="1">
      <alignment vertical="center"/>
    </xf>
    <xf numFmtId="0" fontId="35" fillId="0" borderId="0" xfId="0" applyFont="1" applyAlignment="1">
      <alignment horizontal="left" vertical="center" indent="2"/>
    </xf>
    <xf numFmtId="44" fontId="35" fillId="0" borderId="0" xfId="1" applyFont="1"/>
    <xf numFmtId="44" fontId="34" fillId="3" borderId="0" xfId="5" applyNumberFormat="1" applyFont="1" applyAlignment="1">
      <alignment horizontal="left" vertical="center" indent="2"/>
    </xf>
    <xf numFmtId="44" fontId="34" fillId="3" borderId="8" xfId="5" applyNumberFormat="1" applyFont="1" applyBorder="1"/>
    <xf numFmtId="44" fontId="35" fillId="0" borderId="9" xfId="1" applyFont="1" applyBorder="1"/>
    <xf numFmtId="44" fontId="34" fillId="3" borderId="9" xfId="5" applyNumberFormat="1" applyFont="1" applyBorder="1"/>
    <xf numFmtId="0" fontId="34" fillId="3" borderId="9" xfId="5" applyFont="1" applyBorder="1"/>
    <xf numFmtId="44" fontId="34" fillId="3" borderId="10" xfId="5" applyNumberFormat="1" applyFont="1" applyBorder="1" applyAlignment="1">
      <alignment horizontal="left" vertical="center" indent="2"/>
    </xf>
    <xf numFmtId="0" fontId="13" fillId="0" borderId="0" xfId="8" applyFont="1" applyAlignment="1">
      <alignment vertical="center"/>
    </xf>
    <xf numFmtId="9" fontId="4" fillId="0" borderId="1" xfId="0" applyNumberFormat="1" applyFont="1" applyBorder="1"/>
    <xf numFmtId="0" fontId="4" fillId="11" borderId="0" xfId="0" applyFont="1" applyFill="1"/>
    <xf numFmtId="9" fontId="4" fillId="11" borderId="0" xfId="2" applyFont="1" applyFill="1"/>
    <xf numFmtId="164" fontId="4" fillId="11" borderId="0" xfId="1" applyNumberFormat="1" applyFont="1" applyFill="1"/>
    <xf numFmtId="164" fontId="4" fillId="11" borderId="0" xfId="0" applyNumberFormat="1" applyFont="1" applyFill="1"/>
    <xf numFmtId="44" fontId="4" fillId="0" borderId="0" xfId="0" applyNumberFormat="1" applyFont="1"/>
    <xf numFmtId="0" fontId="35" fillId="0" borderId="0" xfId="0" applyFont="1" applyAlignment="1">
      <alignment horizontal="center" vertical="center"/>
    </xf>
    <xf numFmtId="0" fontId="34" fillId="3" borderId="0" xfId="5" applyFont="1" applyAlignment="1">
      <alignment horizontal="center" vertical="center"/>
    </xf>
    <xf numFmtId="165" fontId="4" fillId="13" borderId="1" xfId="2" applyNumberFormat="1" applyFont="1" applyFill="1" applyBorder="1"/>
    <xf numFmtId="164" fontId="4" fillId="13" borderId="1" xfId="1" applyNumberFormat="1" applyFont="1" applyFill="1" applyBorder="1"/>
    <xf numFmtId="0" fontId="4" fillId="0" borderId="2" xfId="0" applyFont="1" applyBorder="1"/>
    <xf numFmtId="0" fontId="4" fillId="0" borderId="3" xfId="0" applyFont="1" applyBorder="1"/>
    <xf numFmtId="0" fontId="4" fillId="0" borderId="0" xfId="5" applyFont="1" applyFill="1"/>
    <xf numFmtId="164" fontId="4" fillId="0" borderId="0" xfId="5" applyNumberFormat="1" applyFont="1" applyFill="1"/>
    <xf numFmtId="3" fontId="4" fillId="0" borderId="0" xfId="0" applyNumberFormat="1" applyFont="1"/>
    <xf numFmtId="0" fontId="4" fillId="0" borderId="0" xfId="0" applyFont="1" applyAlignment="1">
      <alignment horizontal="left"/>
    </xf>
    <xf numFmtId="9" fontId="4" fillId="6" borderId="0" xfId="2" applyFont="1" applyFill="1"/>
    <xf numFmtId="40" fontId="10" fillId="0" borderId="0" xfId="1" applyNumberFormat="1" applyFont="1"/>
    <xf numFmtId="40" fontId="10" fillId="0" borderId="0" xfId="3" applyNumberFormat="1" applyFont="1"/>
    <xf numFmtId="6" fontId="10" fillId="6" borderId="0" xfId="3" applyNumberFormat="1" applyFont="1" applyFill="1"/>
    <xf numFmtId="49" fontId="4" fillId="6" borderId="0" xfId="0" applyNumberFormat="1" applyFont="1" applyFill="1" applyAlignment="1">
      <alignment horizontal="left"/>
    </xf>
    <xf numFmtId="0" fontId="7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4" fillId="0" borderId="13" xfId="0" applyFont="1" applyBorder="1"/>
    <xf numFmtId="0" fontId="4" fillId="0" borderId="14" xfId="0" applyFont="1" applyBorder="1"/>
    <xf numFmtId="0" fontId="5" fillId="5" borderId="13" xfId="0" applyFont="1" applyFill="1" applyBorder="1"/>
    <xf numFmtId="0" fontId="5" fillId="5" borderId="14" xfId="0" applyFont="1" applyFill="1" applyBorder="1"/>
    <xf numFmtId="3" fontId="4" fillId="0" borderId="13" xfId="0" applyNumberFormat="1" applyFont="1" applyBorder="1"/>
    <xf numFmtId="3" fontId="4" fillId="0" borderId="14" xfId="0" applyNumberFormat="1" applyFont="1" applyBorder="1"/>
    <xf numFmtId="0" fontId="4" fillId="5" borderId="14" xfId="0" applyFont="1" applyFill="1" applyBorder="1"/>
    <xf numFmtId="164" fontId="4" fillId="0" borderId="13" xfId="1" applyNumberFormat="1" applyFont="1" applyBorder="1"/>
    <xf numFmtId="164" fontId="4" fillId="0" borderId="14" xfId="1" applyNumberFormat="1" applyFont="1" applyBorder="1"/>
    <xf numFmtId="164" fontId="4" fillId="6" borderId="13" xfId="5" applyNumberFormat="1" applyFont="1" applyFill="1" applyBorder="1"/>
    <xf numFmtId="164" fontId="4" fillId="6" borderId="14" xfId="5" applyNumberFormat="1" applyFont="1" applyFill="1" applyBorder="1"/>
    <xf numFmtId="164" fontId="4" fillId="0" borderId="13" xfId="5" applyNumberFormat="1" applyFont="1" applyFill="1" applyBorder="1"/>
    <xf numFmtId="164" fontId="4" fillId="0" borderId="14" xfId="5" applyNumberFormat="1" applyFont="1" applyFill="1" applyBorder="1"/>
    <xf numFmtId="165" fontId="4" fillId="0" borderId="13" xfId="2" applyNumberFormat="1" applyFont="1" applyBorder="1"/>
    <xf numFmtId="165" fontId="4" fillId="0" borderId="14" xfId="2" applyNumberFormat="1" applyFont="1" applyBorder="1"/>
    <xf numFmtId="40" fontId="10" fillId="0" borderId="13" xfId="1" applyNumberFormat="1" applyFont="1" applyBorder="1"/>
    <xf numFmtId="40" fontId="10" fillId="0" borderId="14" xfId="1" applyNumberFormat="1" applyFont="1" applyBorder="1"/>
    <xf numFmtId="9" fontId="4" fillId="0" borderId="13" xfId="2" applyFont="1" applyBorder="1"/>
    <xf numFmtId="9" fontId="4" fillId="0" borderId="14" xfId="2" applyFont="1" applyBorder="1"/>
    <xf numFmtId="40" fontId="10" fillId="0" borderId="13" xfId="3" applyNumberFormat="1" applyFont="1" applyBorder="1"/>
    <xf numFmtId="40" fontId="10" fillId="0" borderId="14" xfId="3" applyNumberFormat="1" applyFont="1" applyBorder="1"/>
    <xf numFmtId="6" fontId="10" fillId="6" borderId="13" xfId="3" applyNumberFormat="1" applyFont="1" applyFill="1" applyBorder="1"/>
    <xf numFmtId="6" fontId="10" fillId="6" borderId="14" xfId="3" applyNumberFormat="1" applyFont="1" applyFill="1" applyBorder="1"/>
    <xf numFmtId="164" fontId="5" fillId="5" borderId="13" xfId="4" applyNumberFormat="1" applyFont="1" applyFill="1" applyBorder="1"/>
    <xf numFmtId="164" fontId="5" fillId="5" borderId="14" xfId="4" applyNumberFormat="1" applyFont="1" applyFill="1" applyBorder="1"/>
    <xf numFmtId="164" fontId="6" fillId="5" borderId="14" xfId="1" applyNumberFormat="1" applyFont="1" applyFill="1" applyBorder="1" applyAlignment="1">
      <alignment horizontal="center"/>
    </xf>
    <xf numFmtId="164" fontId="4" fillId="0" borderId="14" xfId="1" applyNumberFormat="1" applyFont="1" applyBorder="1" applyAlignment="1">
      <alignment horizontal="center"/>
    </xf>
    <xf numFmtId="164" fontId="5" fillId="5" borderId="15" xfId="4" applyNumberFormat="1" applyFont="1" applyFill="1" applyBorder="1"/>
    <xf numFmtId="164" fontId="5" fillId="5" borderId="16" xfId="4" applyNumberFormat="1" applyFont="1" applyFill="1" applyBorder="1"/>
    <xf numFmtId="0" fontId="4" fillId="0" borderId="11" xfId="0" applyFont="1" applyBorder="1"/>
    <xf numFmtId="0" fontId="7" fillId="0" borderId="13" xfId="0" applyFont="1" applyBorder="1" applyAlignment="1">
      <alignment horizontal="center"/>
    </xf>
    <xf numFmtId="0" fontId="6" fillId="5" borderId="13" xfId="4" applyFont="1" applyFill="1" applyBorder="1" applyAlignment="1">
      <alignment horizontal="right"/>
    </xf>
    <xf numFmtId="164" fontId="3" fillId="5" borderId="13" xfId="4" applyNumberFormat="1" applyFill="1" applyBorder="1"/>
    <xf numFmtId="164" fontId="3" fillId="0" borderId="13" xfId="4" applyNumberFormat="1" applyFill="1" applyBorder="1"/>
    <xf numFmtId="164" fontId="5" fillId="5" borderId="0" xfId="1" applyNumberFormat="1" applyFont="1" applyFill="1"/>
    <xf numFmtId="49" fontId="4" fillId="0" borderId="0" xfId="0" applyNumberFormat="1" applyFont="1" applyAlignment="1">
      <alignment horizontal="right"/>
    </xf>
    <xf numFmtId="166" fontId="4" fillId="0" borderId="13" xfId="1" applyNumberFormat="1" applyFont="1" applyBorder="1"/>
    <xf numFmtId="166" fontId="4" fillId="0" borderId="14" xfId="1" applyNumberFormat="1" applyFont="1" applyBorder="1"/>
    <xf numFmtId="166" fontId="4" fillId="0" borderId="0" xfId="1" applyNumberFormat="1" applyFont="1"/>
    <xf numFmtId="164" fontId="5" fillId="5" borderId="5" xfId="4" applyNumberFormat="1" applyFont="1" applyFill="1" applyBorder="1"/>
    <xf numFmtId="0" fontId="7" fillId="0" borderId="6" xfId="0" applyFont="1" applyBorder="1" applyAlignment="1">
      <alignment horizontal="center"/>
    </xf>
    <xf numFmtId="164" fontId="6" fillId="5" borderId="0" xfId="1" applyNumberFormat="1" applyFont="1" applyFill="1" applyAlignment="1">
      <alignment horizontal="right"/>
    </xf>
    <xf numFmtId="164" fontId="5" fillId="0" borderId="0" xfId="1" applyNumberFormat="1" applyFont="1"/>
    <xf numFmtId="164" fontId="5" fillId="0" borderId="0" xfId="1" applyNumberFormat="1" applyFont="1" applyAlignment="1">
      <alignment horizontal="center"/>
    </xf>
    <xf numFmtId="0" fontId="4" fillId="6" borderId="0" xfId="0" applyFont="1" applyFill="1" applyAlignment="1">
      <alignment horizontal="left"/>
    </xf>
    <xf numFmtId="0" fontId="4" fillId="6" borderId="13" xfId="0" applyFont="1" applyFill="1" applyBorder="1" applyAlignment="1">
      <alignment horizontal="left"/>
    </xf>
    <xf numFmtId="0" fontId="4" fillId="6" borderId="14" xfId="0" applyFont="1" applyFill="1" applyBorder="1"/>
    <xf numFmtId="3" fontId="4" fillId="6" borderId="13" xfId="0" applyNumberFormat="1" applyFont="1" applyFill="1" applyBorder="1" applyAlignment="1">
      <alignment horizontal="left"/>
    </xf>
    <xf numFmtId="3" fontId="4" fillId="6" borderId="14" xfId="0" applyNumberFormat="1" applyFont="1" applyFill="1" applyBorder="1"/>
    <xf numFmtId="3" fontId="4" fillId="6" borderId="0" xfId="0" applyNumberFormat="1" applyFont="1" applyFill="1"/>
    <xf numFmtId="168" fontId="4" fillId="0" borderId="14" xfId="1" applyNumberFormat="1" applyFont="1" applyBorder="1"/>
    <xf numFmtId="168" fontId="4" fillId="0" borderId="0" xfId="1" applyNumberFormat="1" applyFont="1"/>
    <xf numFmtId="164" fontId="4" fillId="0" borderId="0" xfId="1" applyNumberFormat="1" applyFont="1" applyAlignment="1">
      <alignment horizontal="center"/>
    </xf>
    <xf numFmtId="164" fontId="5" fillId="5" borderId="0" xfId="1" applyNumberFormat="1" applyFont="1" applyFill="1" applyAlignment="1">
      <alignment horizontal="center"/>
    </xf>
    <xf numFmtId="0" fontId="7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4" fillId="0" borderId="17" xfId="0" applyFont="1" applyBorder="1"/>
    <xf numFmtId="0" fontId="4" fillId="5" borderId="13" xfId="0" applyFont="1" applyFill="1" applyBorder="1"/>
    <xf numFmtId="164" fontId="4" fillId="5" borderId="13" xfId="1" applyNumberFormat="1" applyFont="1" applyFill="1" applyBorder="1"/>
    <xf numFmtId="164" fontId="4" fillId="0" borderId="15" xfId="1" applyNumberFormat="1" applyFont="1" applyBorder="1"/>
    <xf numFmtId="164" fontId="4" fillId="0" borderId="11" xfId="1" applyNumberFormat="1" applyFont="1" applyBorder="1"/>
    <xf numFmtId="0" fontId="4" fillId="6" borderId="13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166" fontId="39" fillId="14" borderId="18" xfId="0" applyNumberFormat="1" applyFont="1" applyFill="1" applyBorder="1" applyAlignment="1">
      <alignment horizontal="left" vertical="top"/>
    </xf>
    <xf numFmtId="166" fontId="40" fillId="15" borderId="0" xfId="0" applyNumberFormat="1" applyFont="1" applyFill="1" applyAlignment="1">
      <alignment horizontal="left" vertical="top"/>
    </xf>
    <xf numFmtId="166" fontId="41" fillId="15" borderId="0" xfId="0" applyNumberFormat="1" applyFont="1" applyFill="1" applyAlignment="1">
      <alignment horizontal="center" vertical="top"/>
    </xf>
    <xf numFmtId="0" fontId="40" fillId="15" borderId="0" xfId="0" applyFont="1" applyFill="1" applyAlignment="1">
      <alignment vertical="top"/>
    </xf>
    <xf numFmtId="166" fontId="42" fillId="15" borderId="19" xfId="0" applyNumberFormat="1" applyFont="1" applyFill="1" applyBorder="1" applyAlignment="1">
      <alignment horizontal="left" vertical="top" indent="1"/>
    </xf>
    <xf numFmtId="166" fontId="43" fillId="15" borderId="20" xfId="0" applyNumberFormat="1" applyFont="1" applyFill="1" applyBorder="1" applyAlignment="1">
      <alignment horizontal="left" vertical="top"/>
    </xf>
    <xf numFmtId="0" fontId="40" fillId="15" borderId="20" xfId="0" applyFont="1" applyFill="1" applyBorder="1" applyAlignment="1">
      <alignment vertical="top"/>
    </xf>
    <xf numFmtId="166" fontId="40" fillId="15" borderId="20" xfId="0" applyNumberFormat="1" applyFont="1" applyFill="1" applyBorder="1" applyAlignment="1">
      <alignment horizontal="left" vertical="top"/>
    </xf>
    <xf numFmtId="0" fontId="40" fillId="15" borderId="21" xfId="0" applyFont="1" applyFill="1" applyBorder="1" applyAlignment="1">
      <alignment vertical="top"/>
    </xf>
    <xf numFmtId="166" fontId="42" fillId="15" borderId="22" xfId="0" applyNumberFormat="1" applyFont="1" applyFill="1" applyBorder="1" applyAlignment="1">
      <alignment horizontal="left" vertical="top" indent="1"/>
    </xf>
    <xf numFmtId="3" fontId="43" fillId="15" borderId="0" xfId="0" applyNumberFormat="1" applyFont="1" applyFill="1" applyAlignment="1">
      <alignment horizontal="left" vertical="top"/>
    </xf>
    <xf numFmtId="0" fontId="40" fillId="0" borderId="0" xfId="0" applyFont="1" applyAlignment="1">
      <alignment vertical="top"/>
    </xf>
    <xf numFmtId="0" fontId="40" fillId="15" borderId="23" xfId="0" applyFont="1" applyFill="1" applyBorder="1" applyAlignment="1">
      <alignment vertical="top"/>
    </xf>
    <xf numFmtId="166" fontId="43" fillId="15" borderId="0" xfId="0" applyNumberFormat="1" applyFont="1" applyFill="1" applyAlignment="1">
      <alignment horizontal="left" vertical="top"/>
    </xf>
    <xf numFmtId="166" fontId="41" fillId="15" borderId="0" xfId="0" applyNumberFormat="1" applyFont="1" applyFill="1" applyAlignment="1">
      <alignment horizontal="left" vertical="top"/>
    </xf>
    <xf numFmtId="166" fontId="40" fillId="15" borderId="24" xfId="0" applyNumberFormat="1" applyFont="1" applyFill="1" applyBorder="1" applyAlignment="1">
      <alignment horizontal="right" vertical="top"/>
    </xf>
    <xf numFmtId="166" fontId="40" fillId="15" borderId="5" xfId="0" applyNumberFormat="1" applyFont="1" applyFill="1" applyBorder="1" applyAlignment="1">
      <alignment horizontal="left" vertical="top"/>
    </xf>
    <xf numFmtId="166" fontId="41" fillId="15" borderId="5" xfId="0" applyNumberFormat="1" applyFont="1" applyFill="1" applyBorder="1" applyAlignment="1">
      <alignment horizontal="left" vertical="top"/>
    </xf>
    <xf numFmtId="0" fontId="40" fillId="15" borderId="5" xfId="0" applyFont="1" applyFill="1" applyBorder="1" applyAlignment="1">
      <alignment vertical="top"/>
    </xf>
    <xf numFmtId="0" fontId="40" fillId="15" borderId="25" xfId="0" applyFont="1" applyFill="1" applyBorder="1" applyAlignment="1">
      <alignment vertical="top"/>
    </xf>
    <xf numFmtId="166" fontId="40" fillId="14" borderId="26" xfId="0" applyNumberFormat="1" applyFont="1" applyFill="1" applyBorder="1" applyAlignment="1">
      <alignment horizontal="right" vertical="top"/>
    </xf>
    <xf numFmtId="166" fontId="40" fillId="15" borderId="27" xfId="0" applyNumberFormat="1" applyFont="1" applyFill="1" applyBorder="1" applyAlignment="1">
      <alignment horizontal="right" vertical="top"/>
    </xf>
    <xf numFmtId="0" fontId="42" fillId="0" borderId="3" xfId="0" applyFont="1" applyBorder="1" applyAlignment="1">
      <alignment vertical="top" wrapText="1"/>
    </xf>
    <xf numFmtId="0" fontId="42" fillId="0" borderId="1" xfId="0" applyFont="1" applyBorder="1" applyAlignment="1">
      <alignment horizontal="left" vertical="top" wrapText="1"/>
    </xf>
    <xf numFmtId="0" fontId="40" fillId="0" borderId="1" xfId="0" applyFont="1" applyBorder="1" applyAlignment="1">
      <alignment vertical="top" wrapText="1"/>
    </xf>
    <xf numFmtId="0" fontId="42" fillId="0" borderId="1" xfId="0" applyFont="1" applyBorder="1" applyAlignment="1">
      <alignment vertical="top" wrapText="1"/>
    </xf>
    <xf numFmtId="0" fontId="40" fillId="16" borderId="11" xfId="0" applyFont="1" applyFill="1" applyBorder="1" applyAlignment="1">
      <alignment vertical="top"/>
    </xf>
    <xf numFmtId="0" fontId="40" fillId="16" borderId="28" xfId="0" applyFont="1" applyFill="1" applyBorder="1" applyAlignment="1">
      <alignment vertical="top"/>
    </xf>
    <xf numFmtId="0" fontId="42" fillId="14" borderId="27" xfId="0" applyFont="1" applyFill="1" applyBorder="1" applyAlignment="1">
      <alignment vertical="top"/>
    </xf>
    <xf numFmtId="0" fontId="42" fillId="14" borderId="3" xfId="0" applyFont="1" applyFill="1" applyBorder="1" applyAlignment="1">
      <alignment horizontal="center" vertical="top" wrapText="1"/>
    </xf>
    <xf numFmtId="0" fontId="42" fillId="14" borderId="1" xfId="0" applyFont="1" applyFill="1" applyBorder="1" applyAlignment="1">
      <alignment horizontal="center" vertical="top" wrapText="1"/>
    </xf>
    <xf numFmtId="0" fontId="42" fillId="14" borderId="17" xfId="0" applyFont="1" applyFill="1" applyBorder="1" applyAlignment="1">
      <alignment horizontal="center" vertical="top" wrapText="1"/>
    </xf>
    <xf numFmtId="0" fontId="42" fillId="16" borderId="1" xfId="0" applyFont="1" applyFill="1" applyBorder="1" applyAlignment="1">
      <alignment horizontal="center" vertical="top" wrapText="1"/>
    </xf>
    <xf numFmtId="0" fontId="42" fillId="16" borderId="29" xfId="0" applyFont="1" applyFill="1" applyBorder="1" applyAlignment="1">
      <alignment horizontal="center" vertical="top" wrapText="1"/>
    </xf>
    <xf numFmtId="0" fontId="40" fillId="15" borderId="27" xfId="0" applyFont="1" applyFill="1" applyBorder="1" applyAlignment="1">
      <alignment vertical="top"/>
    </xf>
    <xf numFmtId="166" fontId="40" fillId="0" borderId="3" xfId="0" applyNumberFormat="1" applyFont="1" applyBorder="1" applyAlignment="1">
      <alignment horizontal="left" vertical="top"/>
    </xf>
    <xf numFmtId="164" fontId="43" fillId="0" borderId="1" xfId="1" applyNumberFormat="1" applyFont="1" applyBorder="1" applyAlignment="1">
      <alignment horizontal="left" vertical="top" wrapText="1"/>
    </xf>
    <xf numFmtId="164" fontId="40" fillId="0" borderId="1" xfId="1" applyNumberFormat="1" applyFont="1" applyBorder="1" applyAlignment="1">
      <alignment horizontal="left" vertical="top" wrapText="1"/>
    </xf>
    <xf numFmtId="164" fontId="40" fillId="0" borderId="1" xfId="1" applyNumberFormat="1" applyFont="1" applyBorder="1" applyAlignment="1">
      <alignment vertical="top" wrapText="1"/>
    </xf>
    <xf numFmtId="0" fontId="40" fillId="0" borderId="17" xfId="0" applyFont="1" applyBorder="1" applyAlignment="1">
      <alignment vertical="top" wrapText="1"/>
    </xf>
    <xf numFmtId="164" fontId="43" fillId="16" borderId="1" xfId="1" applyNumberFormat="1" applyFont="1" applyFill="1" applyBorder="1" applyAlignment="1">
      <alignment horizontal="left" vertical="top" wrapText="1"/>
    </xf>
    <xf numFmtId="0" fontId="40" fillId="16" borderId="29" xfId="0" applyFont="1" applyFill="1" applyBorder="1" applyAlignment="1">
      <alignment vertical="top"/>
    </xf>
    <xf numFmtId="0" fontId="40" fillId="0" borderId="3" xfId="0" applyFont="1" applyBorder="1" applyAlignment="1">
      <alignment horizontal="left" vertical="top"/>
    </xf>
    <xf numFmtId="164" fontId="43" fillId="0" borderId="1" xfId="1" applyNumberFormat="1" applyFont="1" applyBorder="1" applyAlignment="1">
      <alignment vertical="top" wrapText="1"/>
    </xf>
    <xf numFmtId="164" fontId="43" fillId="0" borderId="17" xfId="1" applyNumberFormat="1" applyFont="1" applyBorder="1" applyAlignment="1">
      <alignment vertical="top" wrapText="1"/>
    </xf>
    <xf numFmtId="0" fontId="40" fillId="0" borderId="3" xfId="0" applyFont="1" applyBorder="1" applyAlignment="1">
      <alignment vertical="top"/>
    </xf>
    <xf numFmtId="0" fontId="40" fillId="15" borderId="27" xfId="0" applyFont="1" applyFill="1" applyBorder="1" applyAlignment="1">
      <alignment horizontal="left" vertical="top"/>
    </xf>
    <xf numFmtId="9" fontId="40" fillId="0" borderId="3" xfId="0" applyNumberFormat="1" applyFont="1" applyBorder="1" applyAlignment="1">
      <alignment horizontal="left" vertical="top"/>
    </xf>
    <xf numFmtId="0" fontId="40" fillId="0" borderId="1" xfId="0" applyFont="1" applyBorder="1" applyAlignment="1">
      <alignment vertical="top"/>
    </xf>
    <xf numFmtId="0" fontId="40" fillId="15" borderId="30" xfId="0" applyFont="1" applyFill="1" applyBorder="1" applyAlignment="1">
      <alignment vertical="top"/>
    </xf>
    <xf numFmtId="0" fontId="40" fillId="0" borderId="31" xfId="0" applyFont="1" applyBorder="1" applyAlignment="1">
      <alignment vertical="top"/>
    </xf>
    <xf numFmtId="164" fontId="40" fillId="0" borderId="32" xfId="1" applyNumberFormat="1" applyFont="1" applyBorder="1" applyAlignment="1">
      <alignment horizontal="left" vertical="top" wrapText="1"/>
    </xf>
    <xf numFmtId="164" fontId="43" fillId="0" borderId="32" xfId="1" applyNumberFormat="1" applyFont="1" applyBorder="1" applyAlignment="1">
      <alignment horizontal="left" vertical="top" wrapText="1"/>
    </xf>
    <xf numFmtId="164" fontId="40" fillId="0" borderId="32" xfId="1" applyNumberFormat="1" applyFont="1" applyBorder="1" applyAlignment="1">
      <alignment vertical="top" wrapText="1"/>
    </xf>
    <xf numFmtId="0" fontId="40" fillId="0" borderId="32" xfId="0" applyFont="1" applyBorder="1" applyAlignment="1">
      <alignment vertical="top" wrapText="1"/>
    </xf>
    <xf numFmtId="0" fontId="40" fillId="0" borderId="33" xfId="0" applyFont="1" applyBorder="1" applyAlignment="1">
      <alignment vertical="top" wrapText="1"/>
    </xf>
    <xf numFmtId="164" fontId="43" fillId="16" borderId="32" xfId="1" applyNumberFormat="1" applyFont="1" applyFill="1" applyBorder="1" applyAlignment="1">
      <alignment horizontal="left" vertical="top" wrapText="1"/>
    </xf>
    <xf numFmtId="0" fontId="40" fillId="16" borderId="34" xfId="0" applyFont="1" applyFill="1" applyBorder="1" applyAlignment="1">
      <alignment vertical="top"/>
    </xf>
    <xf numFmtId="44" fontId="40" fillId="0" borderId="1" xfId="1" applyFont="1" applyBorder="1" applyAlignment="1">
      <alignment horizontal="left" vertical="top" wrapText="1"/>
    </xf>
    <xf numFmtId="164" fontId="0" fillId="0" borderId="0" xfId="0" applyNumberFormat="1"/>
    <xf numFmtId="164" fontId="4" fillId="12" borderId="13" xfId="1" applyNumberFormat="1" applyFont="1" applyFill="1" applyBorder="1"/>
    <xf numFmtId="44" fontId="5" fillId="5" borderId="14" xfId="4" applyNumberFormat="1" applyFont="1" applyFill="1" applyBorder="1"/>
    <xf numFmtId="44" fontId="4" fillId="0" borderId="0" xfId="1" applyFont="1"/>
    <xf numFmtId="3" fontId="4" fillId="6" borderId="0" xfId="0" applyNumberFormat="1" applyFont="1" applyFill="1" applyAlignment="1">
      <alignment horizontal="left"/>
    </xf>
    <xf numFmtId="9" fontId="10" fillId="0" borderId="0" xfId="2" applyFont="1"/>
    <xf numFmtId="9" fontId="10" fillId="0" borderId="13" xfId="2" applyFont="1" applyBorder="1"/>
    <xf numFmtId="44" fontId="4" fillId="11" borderId="0" xfId="0" applyNumberFormat="1" applyFont="1" applyFill="1"/>
    <xf numFmtId="166" fontId="6" fillId="0" borderId="0" xfId="0" applyNumberFormat="1" applyFont="1"/>
    <xf numFmtId="44" fontId="6" fillId="0" borderId="0" xfId="0" applyNumberFormat="1" applyFont="1"/>
    <xf numFmtId="9" fontId="6" fillId="0" borderId="0" xfId="2" applyFont="1"/>
    <xf numFmtId="165" fontId="4" fillId="6" borderId="0" xfId="2" applyNumberFormat="1" applyFont="1" applyFill="1"/>
    <xf numFmtId="0" fontId="42" fillId="16" borderId="15" xfId="0" applyFont="1" applyFill="1" applyBorder="1" applyAlignment="1">
      <alignment horizontal="center" vertical="top"/>
    </xf>
    <xf numFmtId="0" fontId="40" fillId="16" borderId="25" xfId="0" applyFont="1" applyFill="1" applyBorder="1" applyAlignment="1">
      <alignment vertical="top"/>
    </xf>
    <xf numFmtId="0" fontId="42" fillId="0" borderId="1" xfId="0" applyFont="1" applyBorder="1" applyAlignment="1">
      <alignment horizontal="center" vertical="top" wrapText="1"/>
    </xf>
    <xf numFmtId="9" fontId="4" fillId="0" borderId="2" xfId="2" applyFont="1" applyBorder="1" applyAlignment="1">
      <alignment horizontal="left"/>
    </xf>
    <xf numFmtId="9" fontId="4" fillId="0" borderId="3" xfId="2" applyFont="1" applyBorder="1" applyAlignment="1">
      <alignment horizontal="left"/>
    </xf>
    <xf numFmtId="0" fontId="42" fillId="14" borderId="16" xfId="0" applyFont="1" applyFill="1" applyBorder="1" applyAlignment="1">
      <alignment horizontal="center" vertical="top" wrapText="1"/>
    </xf>
    <xf numFmtId="0" fontId="40" fillId="14" borderId="10" xfId="0" applyFont="1" applyFill="1" applyBorder="1" applyAlignment="1">
      <alignment horizontal="center" vertical="top" wrapText="1"/>
    </xf>
    <xf numFmtId="0" fontId="0" fillId="14" borderId="10" xfId="0" applyFill="1" applyBorder="1" applyAlignment="1">
      <alignment horizontal="center" vertical="top" wrapText="1"/>
    </xf>
    <xf numFmtId="0" fontId="42" fillId="14" borderId="10" xfId="0" applyFont="1" applyFill="1" applyBorder="1" applyAlignment="1">
      <alignment horizontal="center" vertical="top" wrapText="1"/>
    </xf>
    <xf numFmtId="0" fontId="19" fillId="0" borderId="0" xfId="0" applyFont="1" applyAlignment="1">
      <alignment horizontal="right" vertical="center" wrapText="1"/>
    </xf>
    <xf numFmtId="0" fontId="14" fillId="0" borderId="5" xfId="0" applyFont="1" applyBorder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0" fontId="17" fillId="5" borderId="0" xfId="0" applyFont="1" applyFill="1" applyAlignment="1">
      <alignment horizontal="center" vertical="center"/>
    </xf>
  </cellXfs>
  <cellStyles count="26">
    <cellStyle name="=C:\WINNT35\SYSTEM32\COMMAND.COM 3" xfId="8" xr:uid="{00000000-0005-0000-0000-000000000000}"/>
    <cellStyle name="40% - Accent1" xfId="5" builtinId="31"/>
    <cellStyle name="Accent1" xfId="4" builtinId="29"/>
    <cellStyle name="Accent2" xfId="6" builtinId="33"/>
    <cellStyle name="Comma" xfId="7" builtinId="3"/>
    <cellStyle name="Currency" xfId="1" builtinId="4"/>
    <cellStyle name="Currency 2" xfId="25" xr:uid="{5CBA767D-6FD3-0D40-B511-38B36CB9685F}"/>
    <cellStyle name="Followed Hyperlink" xfId="18" builtinId="9" hidden="1"/>
    <cellStyle name="Followed Hyperlink" xfId="22" builtinId="9" hidden="1"/>
    <cellStyle name="Followed Hyperlink" xfId="20" builtinId="9" hidden="1"/>
    <cellStyle name="Followed Hyperlink" xfId="14" builtinId="9" hidden="1"/>
    <cellStyle name="Followed Hyperlink" xfId="16" builtinId="9" hidden="1"/>
    <cellStyle name="Followed Hyperlink" xfId="12" builtinId="9" hidden="1"/>
    <cellStyle name="Followed Hyperlink" xfId="10" builtinId="9" hidden="1"/>
    <cellStyle name="Hyperlink" xfId="21" builtinId="8" hidden="1"/>
    <cellStyle name="Hyperlink" xfId="15" builtinId="8" hidden="1"/>
    <cellStyle name="Hyperlink" xfId="17" builtinId="8" hidden="1"/>
    <cellStyle name="Hyperlink" xfId="19" builtinId="8" hidden="1"/>
    <cellStyle name="Hyperlink" xfId="11" builtinId="8" hidden="1"/>
    <cellStyle name="Hyperlink" xfId="13" builtinId="8" hidden="1"/>
    <cellStyle name="Hyperlink" xfId="9" builtinId="8" hidden="1"/>
    <cellStyle name="Normal" xfId="0" builtinId="0"/>
    <cellStyle name="Normal 2" xfId="23" xr:uid="{12458C56-1D90-4D84-8976-55558D3139FC}"/>
    <cellStyle name="Normal 3" xfId="24" xr:uid="{2D87CC64-2082-844F-AD81-18F4ECAE7515}"/>
    <cellStyle name="Percent" xfId="2" builtinId="5"/>
    <cellStyle name="Warning Text" xfId="3" builtin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448560031010302E-2"/>
          <c:y val="5.1317292975274501E-2"/>
          <c:w val="0.91609712873451798"/>
          <c:h val="0.84559613636776898"/>
        </c:manualLayout>
      </c:layout>
      <c:barChart>
        <c:barDir val="col"/>
        <c:grouping val="clustered"/>
        <c:varyColors val="0"/>
        <c:ser>
          <c:idx val="0"/>
          <c:order val="0"/>
          <c:tx>
            <c:v>Annual Interest</c:v>
          </c:tx>
          <c:spPr>
            <a:solidFill>
              <a:schemeClr val="accent1">
                <a:lumMod val="75000"/>
              </a:schemeClr>
            </a:solidFill>
            <a:ln cap="sq"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val>
            <c:numLit>
              <c:formatCode>General</c:formatCode>
              <c:ptCount val="20"/>
              <c:pt idx="0">
                <c:v>#N/A</c:v>
              </c:pt>
              <c:pt idx="1">
                <c:v>#N/A</c:v>
              </c:pt>
              <c:pt idx="2">
                <c:v>#N/A</c:v>
              </c:pt>
              <c:pt idx="3">
                <c:v>#N/A</c:v>
              </c:pt>
              <c:pt idx="4">
                <c:v>#N/A</c:v>
              </c:pt>
              <c:pt idx="5">
                <c:v>#N/A</c:v>
              </c:pt>
              <c:pt idx="6">
                <c:v>#N/A</c:v>
              </c:pt>
              <c:pt idx="7">
                <c:v>#N/A</c:v>
              </c:pt>
              <c:pt idx="8">
                <c:v>#N/A</c:v>
              </c:pt>
              <c:pt idx="9">
                <c:v>#N/A</c:v>
              </c:pt>
              <c:pt idx="10">
                <c:v>#N/A</c:v>
              </c:pt>
              <c:pt idx="11">
                <c:v>#N/A</c:v>
              </c:pt>
              <c:pt idx="12">
                <c:v>#N/A</c:v>
              </c:pt>
              <c:pt idx="13">
                <c:v>#N/A</c:v>
              </c:pt>
              <c:pt idx="14">
                <c:v>#N/A</c:v>
              </c:pt>
              <c:pt idx="15">
                <c:v>#N/A</c:v>
              </c:pt>
              <c:pt idx="16">
                <c:v>#N/A</c:v>
              </c:pt>
              <c:pt idx="17">
                <c:v>#N/A</c:v>
              </c:pt>
              <c:pt idx="18">
                <c:v>#N/A</c:v>
              </c:pt>
              <c:pt idx="19">
                <c:v>#N/A</c:v>
              </c:pt>
            </c:numLit>
          </c:val>
          <c:extLst>
            <c:ext xmlns:c16="http://schemas.microsoft.com/office/drawing/2014/chart" uri="{C3380CC4-5D6E-409C-BE32-E72D297353CC}">
              <c16:uniqueId val="{00000000-DFB1-4DA2-A498-3D70B6D0B23F}"/>
            </c:ext>
          </c:extLst>
        </c:ser>
        <c:ser>
          <c:idx val="1"/>
          <c:order val="1"/>
          <c:tx>
            <c:v>Annual Principal</c:v>
          </c:tx>
          <c:spPr>
            <a:solidFill>
              <a:schemeClr val="bg1">
                <a:lumMod val="6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val>
            <c:numLit>
              <c:formatCode>General</c:formatCode>
              <c:ptCount val="20"/>
              <c:pt idx="0">
                <c:v>#N/A</c:v>
              </c:pt>
              <c:pt idx="1">
                <c:v>#N/A</c:v>
              </c:pt>
              <c:pt idx="2">
                <c:v>#N/A</c:v>
              </c:pt>
              <c:pt idx="3">
                <c:v>#N/A</c:v>
              </c:pt>
              <c:pt idx="4">
                <c:v>#N/A</c:v>
              </c:pt>
              <c:pt idx="5">
                <c:v>#N/A</c:v>
              </c:pt>
              <c:pt idx="6">
                <c:v>#N/A</c:v>
              </c:pt>
              <c:pt idx="7">
                <c:v>#N/A</c:v>
              </c:pt>
              <c:pt idx="8">
                <c:v>#N/A</c:v>
              </c:pt>
              <c:pt idx="9">
                <c:v>#N/A</c:v>
              </c:pt>
              <c:pt idx="10">
                <c:v>#N/A</c:v>
              </c:pt>
              <c:pt idx="11">
                <c:v>#N/A</c:v>
              </c:pt>
              <c:pt idx="12">
                <c:v>#N/A</c:v>
              </c:pt>
              <c:pt idx="13">
                <c:v>#N/A</c:v>
              </c:pt>
              <c:pt idx="14">
                <c:v>#N/A</c:v>
              </c:pt>
              <c:pt idx="15">
                <c:v>#N/A</c:v>
              </c:pt>
              <c:pt idx="16">
                <c:v>#N/A</c:v>
              </c:pt>
              <c:pt idx="17">
                <c:v>#N/A</c:v>
              </c:pt>
              <c:pt idx="18">
                <c:v>#N/A</c:v>
              </c:pt>
              <c:pt idx="19">
                <c:v>#N/A</c:v>
              </c:pt>
            </c:numLit>
          </c:val>
          <c:extLst>
            <c:ext xmlns:c16="http://schemas.microsoft.com/office/drawing/2014/chart" uri="{C3380CC4-5D6E-409C-BE32-E72D297353CC}">
              <c16:uniqueId val="{00000001-DFB1-4DA2-A498-3D70B6D0B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29778568"/>
        <c:axId val="2130907576"/>
      </c:barChart>
      <c:catAx>
        <c:axId val="2129778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Garamond"/>
                <a:ea typeface="Garamond"/>
                <a:cs typeface="Garamond"/>
              </a:defRPr>
            </a:pPr>
            <a:endParaRPr lang="en-US"/>
          </a:p>
        </c:txPr>
        <c:crossAx val="2130907576"/>
        <c:crosses val="autoZero"/>
        <c:auto val="1"/>
        <c:lblAlgn val="ctr"/>
        <c:lblOffset val="100"/>
        <c:noMultiLvlLbl val="0"/>
      </c:catAx>
      <c:valAx>
        <c:axId val="2130907576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Garamond"/>
                <a:ea typeface="Garamond"/>
                <a:cs typeface="Garamond"/>
              </a:defRPr>
            </a:pPr>
            <a:endParaRPr lang="en-US"/>
          </a:p>
        </c:txPr>
        <c:crossAx val="21297785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2369788232678804"/>
          <c:y val="6.1347919745325899E-2"/>
          <c:w val="0.150703555051728"/>
          <c:h val="0.14196529600466601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333333"/>
              </a:solidFill>
              <a:latin typeface="Garamond"/>
              <a:ea typeface="Garamond"/>
              <a:cs typeface="Garamond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702130</xdr:colOff>
      <xdr:row>2</xdr:row>
      <xdr:rowOff>28577</xdr:rowOff>
    </xdr:from>
    <xdr:to>
      <xdr:col>65</xdr:col>
      <xdr:colOff>273505</xdr:colOff>
      <xdr:row>18</xdr:row>
      <xdr:rowOff>126547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BB8BFAB4-B342-4F1B-B339-C76D7CF7D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3"/>
  <sheetViews>
    <sheetView showGridLines="0" tabSelected="1" zoomScale="170" zoomScaleNormal="170" workbookViewId="0">
      <pane ySplit="4" topLeftCell="A62" activePane="bottomLeft" state="frozen"/>
      <selection pane="bottomLeft" activeCell="I157" sqref="I157"/>
    </sheetView>
  </sheetViews>
  <sheetFormatPr defaultColWidth="9.140625" defaultRowHeight="12.75" x14ac:dyDescent="0.2"/>
  <cols>
    <col min="1" max="1" width="3.7109375" style="1" customWidth="1"/>
    <col min="2" max="2" width="5" style="1" customWidth="1"/>
    <col min="3" max="3" width="5.7109375" style="1" customWidth="1"/>
    <col min="4" max="4" width="30.28515625" style="1" bestFit="1" customWidth="1"/>
    <col min="5" max="5" width="9.85546875" style="1" bestFit="1" customWidth="1"/>
    <col min="6" max="6" width="16.42578125" style="1" bestFit="1" customWidth="1"/>
    <col min="7" max="7" width="15.7109375" style="1" bestFit="1" customWidth="1"/>
    <col min="8" max="8" width="12.42578125" style="1" customWidth="1"/>
    <col min="9" max="9" width="13.42578125" style="1" bestFit="1" customWidth="1"/>
    <col min="10" max="10" width="8.7109375" style="1" bestFit="1" customWidth="1"/>
    <col min="11" max="11" width="13.42578125" style="1" bestFit="1" customWidth="1"/>
    <col min="12" max="12" width="6" style="1" bestFit="1" customWidth="1"/>
    <col min="13" max="19" width="13.85546875" style="1" customWidth="1"/>
    <col min="20" max="20" width="15" style="1" bestFit="1" customWidth="1"/>
    <col min="21" max="21" width="6.140625" style="1" customWidth="1"/>
    <col min="22" max="22" width="32.140625" style="1" bestFit="1" customWidth="1"/>
    <col min="23" max="23" width="23.140625" style="1" bestFit="1" customWidth="1"/>
    <col min="24" max="24" width="48.42578125" style="1" bestFit="1" customWidth="1"/>
    <col min="25" max="25" width="12.140625" style="1" bestFit="1" customWidth="1"/>
    <col min="26" max="26" width="8.42578125" style="1" bestFit="1" customWidth="1"/>
    <col min="27" max="16384" width="9.140625" style="1"/>
  </cols>
  <sheetData>
    <row r="1" spans="2:20" ht="72.75" customHeight="1" x14ac:dyDescent="0.2">
      <c r="B1" s="21" t="s">
        <v>242</v>
      </c>
    </row>
    <row r="2" spans="2:20" ht="2.25" customHeight="1" x14ac:dyDescent="0.2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2:20" x14ac:dyDescent="0.2">
      <c r="G3" s="232"/>
      <c r="H3" s="201"/>
      <c r="I3" s="243" t="s">
        <v>49</v>
      </c>
      <c r="J3" s="201"/>
      <c r="K3" s="243" t="s">
        <v>49</v>
      </c>
      <c r="L3" s="243"/>
      <c r="M3" s="257" t="s">
        <v>49</v>
      </c>
      <c r="N3" s="105" t="s">
        <v>49</v>
      </c>
      <c r="O3" s="105" t="s">
        <v>49</v>
      </c>
      <c r="P3" s="105" t="s">
        <v>49</v>
      </c>
      <c r="Q3" s="105" t="s">
        <v>49</v>
      </c>
      <c r="R3" s="105" t="s">
        <v>49</v>
      </c>
      <c r="S3" s="105" t="s">
        <v>49</v>
      </c>
      <c r="T3" s="105" t="s">
        <v>49</v>
      </c>
    </row>
    <row r="4" spans="2:20" x14ac:dyDescent="0.2">
      <c r="G4" s="233" t="s">
        <v>160</v>
      </c>
      <c r="H4" s="202"/>
      <c r="I4" s="104">
        <v>1</v>
      </c>
      <c r="J4" s="202"/>
      <c r="K4" s="104">
        <v>2</v>
      </c>
      <c r="L4" s="104"/>
      <c r="M4" s="258">
        <v>3</v>
      </c>
      <c r="N4" s="104">
        <v>4</v>
      </c>
      <c r="O4" s="104">
        <v>5</v>
      </c>
      <c r="P4" s="104">
        <v>6</v>
      </c>
      <c r="Q4" s="104">
        <v>7</v>
      </c>
      <c r="R4" s="104">
        <v>8</v>
      </c>
      <c r="S4" s="104">
        <v>9</v>
      </c>
      <c r="T4" s="104">
        <v>10</v>
      </c>
    </row>
    <row r="5" spans="2:20" ht="15" customHeight="1" x14ac:dyDescent="0.2">
      <c r="G5" s="203"/>
      <c r="H5" s="204"/>
      <c r="J5" s="204"/>
      <c r="M5" s="259" t="s">
        <v>150</v>
      </c>
      <c r="N5" s="190"/>
      <c r="O5" s="190"/>
      <c r="P5" s="190"/>
      <c r="Q5" s="190"/>
      <c r="R5" s="190"/>
      <c r="S5" s="190"/>
      <c r="T5" s="191"/>
    </row>
    <row r="6" spans="2:20" x14ac:dyDescent="0.2">
      <c r="B6" s="20" t="s">
        <v>21</v>
      </c>
      <c r="C6" s="20"/>
      <c r="D6" s="20"/>
      <c r="E6" s="20"/>
      <c r="F6" s="20"/>
      <c r="G6" s="205"/>
      <c r="H6" s="206"/>
      <c r="I6" s="20"/>
      <c r="J6" s="206"/>
      <c r="K6" s="20"/>
      <c r="L6" s="20"/>
      <c r="M6" s="205"/>
      <c r="N6" s="20"/>
      <c r="O6" s="20"/>
      <c r="P6" s="20"/>
      <c r="Q6" s="20"/>
      <c r="R6" s="20"/>
      <c r="S6" s="20"/>
      <c r="T6" s="20"/>
    </row>
    <row r="7" spans="2:20" x14ac:dyDescent="0.2">
      <c r="B7" s="1" t="s">
        <v>156</v>
      </c>
      <c r="D7" s="1" t="s">
        <v>153</v>
      </c>
      <c r="E7" s="195" t="s">
        <v>154</v>
      </c>
      <c r="G7" s="203"/>
      <c r="H7" s="204"/>
      <c r="J7" s="204"/>
      <c r="M7" s="203"/>
    </row>
    <row r="8" spans="2:20" x14ac:dyDescent="0.2">
      <c r="B8" s="1" t="s">
        <v>157</v>
      </c>
      <c r="D8" s="200" t="s">
        <v>243</v>
      </c>
      <c r="E8" s="247">
        <v>284</v>
      </c>
      <c r="F8" s="12" t="s">
        <v>158</v>
      </c>
      <c r="G8" s="248">
        <v>23</v>
      </c>
      <c r="H8" s="249"/>
      <c r="I8" s="247">
        <f>G8</f>
        <v>23</v>
      </c>
      <c r="J8" s="249"/>
      <c r="K8" s="247">
        <f>I8</f>
        <v>23</v>
      </c>
      <c r="L8" s="12"/>
      <c r="M8" s="264">
        <f>K8</f>
        <v>23</v>
      </c>
      <c r="N8" s="265">
        <f t="shared" ref="N8:T8" si="0">M8</f>
        <v>23</v>
      </c>
      <c r="O8" s="265">
        <f t="shared" si="0"/>
        <v>23</v>
      </c>
      <c r="P8" s="265">
        <f t="shared" si="0"/>
        <v>23</v>
      </c>
      <c r="Q8" s="265">
        <f t="shared" si="0"/>
        <v>23</v>
      </c>
      <c r="R8" s="265">
        <f t="shared" si="0"/>
        <v>23</v>
      </c>
      <c r="S8" s="265">
        <f t="shared" si="0"/>
        <v>23</v>
      </c>
      <c r="T8" s="265">
        <f t="shared" si="0"/>
        <v>23</v>
      </c>
    </row>
    <row r="9" spans="2:20" x14ac:dyDescent="0.2">
      <c r="E9" s="195"/>
      <c r="F9" s="22" t="s">
        <v>161</v>
      </c>
      <c r="G9" s="239">
        <v>493</v>
      </c>
      <c r="H9" s="253">
        <f>G9/E8</f>
        <v>1.7359154929577465</v>
      </c>
      <c r="I9" s="241">
        <f>G9+25</f>
        <v>518</v>
      </c>
      <c r="J9" s="253">
        <f>I9/E8</f>
        <v>1.823943661971831</v>
      </c>
      <c r="K9" s="241">
        <v>600</v>
      </c>
      <c r="L9" s="254">
        <f>K9/E8</f>
        <v>2.112676056338028</v>
      </c>
      <c r="M9" s="239">
        <f t="shared" ref="M9" si="1">K9*1.03</f>
        <v>618</v>
      </c>
      <c r="N9" s="241">
        <f t="shared" ref="N9" si="2">M9*1.03</f>
        <v>636.54</v>
      </c>
      <c r="O9" s="241">
        <f t="shared" ref="O9" si="3">N9*1.03</f>
        <v>655.63620000000003</v>
      </c>
      <c r="P9" s="241">
        <f t="shared" ref="P9" si="4">O9*1.03</f>
        <v>675.30528600000002</v>
      </c>
      <c r="Q9" s="241">
        <f t="shared" ref="Q9" si="5">P9*1.03</f>
        <v>695.56444457999999</v>
      </c>
      <c r="R9" s="241">
        <f t="shared" ref="R9" si="6">Q9*1.03</f>
        <v>716.43137791740003</v>
      </c>
      <c r="S9" s="241">
        <f t="shared" ref="S9" si="7">R9*1.03</f>
        <v>737.92431925492201</v>
      </c>
      <c r="T9" s="241">
        <f t="shared" ref="T9" si="8">S9*1.03</f>
        <v>760.06204883256964</v>
      </c>
    </row>
    <row r="10" spans="2:20" x14ac:dyDescent="0.2">
      <c r="D10" s="200" t="s">
        <v>244</v>
      </c>
      <c r="E10" s="247">
        <v>565</v>
      </c>
      <c r="F10" s="12" t="s">
        <v>158</v>
      </c>
      <c r="G10" s="248">
        <v>14</v>
      </c>
      <c r="H10" s="249"/>
      <c r="I10" s="247">
        <f>G10</f>
        <v>14</v>
      </c>
      <c r="J10" s="249"/>
      <c r="K10" s="247">
        <f>I10</f>
        <v>14</v>
      </c>
      <c r="L10" s="12"/>
      <c r="M10" s="264">
        <f>K10</f>
        <v>14</v>
      </c>
      <c r="N10" s="265">
        <f t="shared" ref="N10:T10" si="9">M10</f>
        <v>14</v>
      </c>
      <c r="O10" s="265">
        <f t="shared" si="9"/>
        <v>14</v>
      </c>
      <c r="P10" s="265">
        <f t="shared" si="9"/>
        <v>14</v>
      </c>
      <c r="Q10" s="265">
        <f t="shared" si="9"/>
        <v>14</v>
      </c>
      <c r="R10" s="265">
        <f t="shared" si="9"/>
        <v>14</v>
      </c>
      <c r="S10" s="265">
        <f t="shared" si="9"/>
        <v>14</v>
      </c>
      <c r="T10" s="265">
        <f t="shared" si="9"/>
        <v>14</v>
      </c>
    </row>
    <row r="11" spans="2:20" x14ac:dyDescent="0.2">
      <c r="E11" s="195"/>
      <c r="F11" s="22" t="s">
        <v>161</v>
      </c>
      <c r="G11" s="239">
        <v>651</v>
      </c>
      <c r="H11" s="253">
        <f>G11/E10</f>
        <v>1.1522123893805309</v>
      </c>
      <c r="I11" s="241">
        <f>G11+25</f>
        <v>676</v>
      </c>
      <c r="J11" s="253">
        <f>I11/E10</f>
        <v>1.1964601769911505</v>
      </c>
      <c r="K11" s="241">
        <f>I11+25</f>
        <v>701</v>
      </c>
      <c r="L11" s="254">
        <f>K11/E10</f>
        <v>1.24070796460177</v>
      </c>
      <c r="M11" s="239">
        <f>K11*1.03</f>
        <v>722.03</v>
      </c>
      <c r="N11" s="241">
        <f t="shared" ref="N11:T11" si="10">M11*1.03</f>
        <v>743.69089999999994</v>
      </c>
      <c r="O11" s="241">
        <f t="shared" si="10"/>
        <v>766.00162699999998</v>
      </c>
      <c r="P11" s="241">
        <f t="shared" si="10"/>
        <v>788.98167580999996</v>
      </c>
      <c r="Q11" s="241">
        <f t="shared" si="10"/>
        <v>812.65112608430002</v>
      </c>
      <c r="R11" s="241">
        <f t="shared" si="10"/>
        <v>837.03065986682907</v>
      </c>
      <c r="S11" s="241">
        <f t="shared" si="10"/>
        <v>862.14157966283392</v>
      </c>
      <c r="T11" s="241">
        <f t="shared" si="10"/>
        <v>888.00582705271893</v>
      </c>
    </row>
    <row r="12" spans="2:20" x14ac:dyDescent="0.2">
      <c r="D12" s="200" t="s">
        <v>167</v>
      </c>
      <c r="E12" s="247">
        <v>743</v>
      </c>
      <c r="F12" s="12" t="s">
        <v>158</v>
      </c>
      <c r="G12" s="248">
        <v>226</v>
      </c>
      <c r="H12" s="249"/>
      <c r="I12" s="247">
        <f>G12</f>
        <v>226</v>
      </c>
      <c r="J12" s="249"/>
      <c r="K12" s="247">
        <f>I12</f>
        <v>226</v>
      </c>
      <c r="L12" s="12"/>
      <c r="M12" s="264">
        <f>K12</f>
        <v>226</v>
      </c>
      <c r="N12" s="265">
        <f t="shared" ref="N12:T12" si="11">M12</f>
        <v>226</v>
      </c>
      <c r="O12" s="265">
        <f t="shared" si="11"/>
        <v>226</v>
      </c>
      <c r="P12" s="265">
        <f t="shared" si="11"/>
        <v>226</v>
      </c>
      <c r="Q12" s="265">
        <f t="shared" si="11"/>
        <v>226</v>
      </c>
      <c r="R12" s="265">
        <f t="shared" si="11"/>
        <v>226</v>
      </c>
      <c r="S12" s="265">
        <f t="shared" si="11"/>
        <v>226</v>
      </c>
      <c r="T12" s="265">
        <f t="shared" si="11"/>
        <v>226</v>
      </c>
    </row>
    <row r="13" spans="2:20" x14ac:dyDescent="0.2">
      <c r="E13" s="195"/>
      <c r="F13" s="22" t="s">
        <v>161</v>
      </c>
      <c r="G13" s="239">
        <v>792</v>
      </c>
      <c r="H13" s="253">
        <f>G13/E12</f>
        <v>1.0659488559892329</v>
      </c>
      <c r="I13" s="241">
        <f>G13+25</f>
        <v>817</v>
      </c>
      <c r="J13" s="253">
        <f>I13/E12</f>
        <v>1.0995962314939434</v>
      </c>
      <c r="K13" s="241">
        <f>I13+25</f>
        <v>842</v>
      </c>
      <c r="L13" s="254">
        <f>K13/E12</f>
        <v>1.133243606998654</v>
      </c>
      <c r="M13" s="239">
        <f>K13*1.03</f>
        <v>867.26</v>
      </c>
      <c r="N13" s="241">
        <f t="shared" ref="N13:T13" si="12">M13*1.03</f>
        <v>893.27780000000007</v>
      </c>
      <c r="O13" s="241">
        <f t="shared" si="12"/>
        <v>920.07613400000014</v>
      </c>
      <c r="P13" s="241">
        <f t="shared" si="12"/>
        <v>947.67841802000021</v>
      </c>
      <c r="Q13" s="241">
        <f t="shared" si="12"/>
        <v>976.10877056060019</v>
      </c>
      <c r="R13" s="241">
        <f t="shared" si="12"/>
        <v>1005.3920336774182</v>
      </c>
      <c r="S13" s="241">
        <f t="shared" si="12"/>
        <v>1035.5537946877407</v>
      </c>
      <c r="T13" s="241">
        <f t="shared" si="12"/>
        <v>1066.620408528373</v>
      </c>
    </row>
    <row r="14" spans="2:20" x14ac:dyDescent="0.2">
      <c r="D14" s="200" t="s">
        <v>168</v>
      </c>
      <c r="E14" s="247">
        <v>976</v>
      </c>
      <c r="F14" s="12" t="s">
        <v>158</v>
      </c>
      <c r="G14" s="248">
        <v>132</v>
      </c>
      <c r="H14" s="249"/>
      <c r="I14" s="247">
        <f>G14</f>
        <v>132</v>
      </c>
      <c r="J14" s="249"/>
      <c r="K14" s="247">
        <f>I14</f>
        <v>132</v>
      </c>
      <c r="L14" s="12"/>
      <c r="M14" s="264">
        <f>K14</f>
        <v>132</v>
      </c>
      <c r="N14" s="265">
        <f t="shared" ref="N14" si="13">M14</f>
        <v>132</v>
      </c>
      <c r="O14" s="265">
        <f t="shared" ref="O14" si="14">N14</f>
        <v>132</v>
      </c>
      <c r="P14" s="265">
        <f t="shared" ref="P14" si="15">O14</f>
        <v>132</v>
      </c>
      <c r="Q14" s="265">
        <f t="shared" ref="Q14" si="16">P14</f>
        <v>132</v>
      </c>
      <c r="R14" s="265">
        <f t="shared" ref="R14" si="17">Q14</f>
        <v>132</v>
      </c>
      <c r="S14" s="265">
        <f t="shared" ref="S14" si="18">R14</f>
        <v>132</v>
      </c>
      <c r="T14" s="265">
        <f t="shared" ref="T14" si="19">S14</f>
        <v>132</v>
      </c>
    </row>
    <row r="15" spans="2:20" x14ac:dyDescent="0.2">
      <c r="E15" s="195"/>
      <c r="F15" s="22" t="s">
        <v>161</v>
      </c>
      <c r="G15" s="239">
        <v>1000</v>
      </c>
      <c r="H15" s="253">
        <f>G15/E14</f>
        <v>1.0245901639344261</v>
      </c>
      <c r="I15" s="241">
        <f>G15+25</f>
        <v>1025</v>
      </c>
      <c r="J15" s="253">
        <f>I15/E14</f>
        <v>1.0502049180327868</v>
      </c>
      <c r="K15" s="241">
        <f>I15+25</f>
        <v>1050</v>
      </c>
      <c r="L15" s="254">
        <f>K15/E14</f>
        <v>1.0758196721311475</v>
      </c>
      <c r="M15" s="239">
        <f>K15*1.03</f>
        <v>1081.5</v>
      </c>
      <c r="N15" s="241">
        <f t="shared" ref="N15" si="20">M15*1.03</f>
        <v>1113.9449999999999</v>
      </c>
      <c r="O15" s="241">
        <f t="shared" ref="O15" si="21">N15*1.03</f>
        <v>1147.3633499999999</v>
      </c>
      <c r="P15" s="241">
        <f t="shared" ref="P15" si="22">O15*1.03</f>
        <v>1181.7842504999999</v>
      </c>
      <c r="Q15" s="241">
        <f t="shared" ref="Q15" si="23">P15*1.03</f>
        <v>1217.237778015</v>
      </c>
      <c r="R15" s="241">
        <f t="shared" ref="R15" si="24">Q15*1.03</f>
        <v>1253.7549113554501</v>
      </c>
      <c r="S15" s="241">
        <f t="shared" ref="S15" si="25">R15*1.03</f>
        <v>1291.3675586961135</v>
      </c>
      <c r="T15" s="241">
        <f t="shared" ref="T15" si="26">S15*1.03</f>
        <v>1330.1085854569969</v>
      </c>
    </row>
    <row r="16" spans="2:20" x14ac:dyDescent="0.2">
      <c r="D16" s="200" t="s">
        <v>245</v>
      </c>
      <c r="E16" s="247">
        <v>1222</v>
      </c>
      <c r="F16" s="12" t="s">
        <v>158</v>
      </c>
      <c r="G16" s="248">
        <v>10</v>
      </c>
      <c r="H16" s="249"/>
      <c r="I16" s="247">
        <v>10</v>
      </c>
      <c r="J16" s="249"/>
      <c r="K16" s="247">
        <v>10</v>
      </c>
      <c r="L16" s="12"/>
      <c r="M16" s="264">
        <f>K16</f>
        <v>10</v>
      </c>
      <c r="N16" s="265">
        <f t="shared" ref="N16" si="27">M16</f>
        <v>10</v>
      </c>
      <c r="O16" s="265">
        <f t="shared" ref="O16" si="28">N16</f>
        <v>10</v>
      </c>
      <c r="P16" s="265">
        <f t="shared" ref="P16" si="29">O16</f>
        <v>10</v>
      </c>
      <c r="Q16" s="265">
        <f t="shared" ref="Q16" si="30">P16</f>
        <v>10</v>
      </c>
      <c r="R16" s="265">
        <f t="shared" ref="R16" si="31">Q16</f>
        <v>10</v>
      </c>
      <c r="S16" s="265">
        <f t="shared" ref="S16" si="32">R16</f>
        <v>10</v>
      </c>
      <c r="T16" s="265">
        <f t="shared" ref="T16" si="33">S16</f>
        <v>10</v>
      </c>
    </row>
    <row r="17" spans="2:20" x14ac:dyDescent="0.2">
      <c r="E17" s="195"/>
      <c r="F17" s="22" t="s">
        <v>161</v>
      </c>
      <c r="G17" s="239">
        <v>1351</v>
      </c>
      <c r="H17" s="253">
        <f>G17/E16</f>
        <v>1.1055646481178396</v>
      </c>
      <c r="I17" s="241">
        <f>G17+25</f>
        <v>1376</v>
      </c>
      <c r="J17" s="253">
        <f>I17/E16</f>
        <v>1.1260229132569559</v>
      </c>
      <c r="K17" s="241">
        <f>I17+25</f>
        <v>1401</v>
      </c>
      <c r="L17" s="254">
        <f>K17/E16</f>
        <v>1.146481178396072</v>
      </c>
      <c r="M17" s="239">
        <f>K17*1.03</f>
        <v>1443.03</v>
      </c>
      <c r="N17" s="241">
        <f t="shared" ref="N17" si="34">M17*1.03</f>
        <v>1486.3208999999999</v>
      </c>
      <c r="O17" s="241">
        <f t="shared" ref="O17" si="35">N17*1.03</f>
        <v>1530.910527</v>
      </c>
      <c r="P17" s="241">
        <f t="shared" ref="P17" si="36">O17*1.03</f>
        <v>1576.83784281</v>
      </c>
      <c r="Q17" s="241">
        <f t="shared" ref="Q17" si="37">P17*1.03</f>
        <v>1624.1429780943001</v>
      </c>
      <c r="R17" s="241">
        <f t="shared" ref="R17" si="38">Q17*1.03</f>
        <v>1672.8672674371292</v>
      </c>
      <c r="S17" s="241">
        <f t="shared" ref="S17" si="39">R17*1.03</f>
        <v>1723.0532854602432</v>
      </c>
      <c r="T17" s="241">
        <f t="shared" ref="T17" si="40">S17*1.03</f>
        <v>1774.7448840240504</v>
      </c>
    </row>
    <row r="18" spans="2:20" x14ac:dyDescent="0.2">
      <c r="D18" s="200"/>
      <c r="E18" s="247"/>
      <c r="F18" s="12" t="s">
        <v>158</v>
      </c>
      <c r="G18" s="248"/>
      <c r="H18" s="249"/>
      <c r="I18" s="247"/>
      <c r="J18" s="249"/>
      <c r="K18" s="247"/>
      <c r="L18" s="12"/>
      <c r="M18" s="264">
        <f>K18</f>
        <v>0</v>
      </c>
      <c r="N18" s="265">
        <f t="shared" ref="N18" si="41">M18</f>
        <v>0</v>
      </c>
      <c r="O18" s="265">
        <f t="shared" ref="O18" si="42">N18</f>
        <v>0</v>
      </c>
      <c r="P18" s="265">
        <f t="shared" ref="P18" si="43">O18</f>
        <v>0</v>
      </c>
      <c r="Q18" s="265">
        <f t="shared" ref="Q18" si="44">P18</f>
        <v>0</v>
      </c>
      <c r="R18" s="265">
        <f t="shared" ref="R18" si="45">Q18</f>
        <v>0</v>
      </c>
      <c r="S18" s="265">
        <f t="shared" ref="S18" si="46">R18</f>
        <v>0</v>
      </c>
      <c r="T18" s="265">
        <f t="shared" ref="T18" si="47">S18</f>
        <v>0</v>
      </c>
    </row>
    <row r="19" spans="2:20" x14ac:dyDescent="0.2">
      <c r="E19" s="195"/>
      <c r="F19" s="22" t="s">
        <v>161</v>
      </c>
      <c r="G19" s="239"/>
      <c r="H19" s="253"/>
      <c r="I19" s="241"/>
      <c r="J19" s="253"/>
      <c r="K19" s="241"/>
      <c r="L19" s="254"/>
      <c r="M19" s="239">
        <f>K19*1.03</f>
        <v>0</v>
      </c>
      <c r="N19" s="241">
        <f t="shared" ref="N19" si="48">M19*1.03</f>
        <v>0</v>
      </c>
      <c r="O19" s="241">
        <f t="shared" ref="O19" si="49">N19*1.03</f>
        <v>0</v>
      </c>
      <c r="P19" s="241">
        <f t="shared" ref="P19" si="50">O19*1.03</f>
        <v>0</v>
      </c>
      <c r="Q19" s="241">
        <f t="shared" ref="Q19" si="51">P19*1.03</f>
        <v>0</v>
      </c>
      <c r="R19" s="241">
        <f t="shared" ref="R19" si="52">Q19*1.03</f>
        <v>0</v>
      </c>
      <c r="S19" s="241">
        <f t="shared" ref="S19" si="53">R19*1.03</f>
        <v>0</v>
      </c>
      <c r="T19" s="241">
        <f t="shared" ref="T19" si="54">S19*1.03</f>
        <v>0</v>
      </c>
    </row>
    <row r="20" spans="2:20" x14ac:dyDescent="0.2">
      <c r="E20" s="195"/>
      <c r="F20" s="238"/>
      <c r="G20" s="239"/>
      <c r="H20" s="240"/>
      <c r="I20" s="241"/>
      <c r="J20" s="240"/>
      <c r="K20" s="241"/>
      <c r="L20" s="241"/>
      <c r="M20" s="239"/>
      <c r="N20" s="241"/>
      <c r="O20" s="241"/>
      <c r="P20" s="241"/>
      <c r="Q20" s="241"/>
      <c r="R20" s="241"/>
      <c r="S20" s="241"/>
      <c r="T20" s="241"/>
    </row>
    <row r="21" spans="2:20" x14ac:dyDescent="0.2">
      <c r="D21" s="12" t="s">
        <v>155</v>
      </c>
      <c r="E21" s="12"/>
      <c r="F21" s="12"/>
      <c r="G21" s="250">
        <f>G12+G10+G8+G14+G16+G18</f>
        <v>405</v>
      </c>
      <c r="H21" s="251"/>
      <c r="I21" s="250">
        <f>I12+I10+I8+I14+I16+I18</f>
        <v>405</v>
      </c>
      <c r="J21" s="251"/>
      <c r="K21" s="250">
        <f>K12+K10+K8+K14+K16+K18</f>
        <v>405</v>
      </c>
      <c r="L21" s="252"/>
      <c r="M21" s="250">
        <f t="shared" ref="M21:T21" si="55">M12+M10+M8+M14+M16+M18</f>
        <v>405</v>
      </c>
      <c r="N21" s="329">
        <f t="shared" si="55"/>
        <v>405</v>
      </c>
      <c r="O21" s="329">
        <f t="shared" si="55"/>
        <v>405</v>
      </c>
      <c r="P21" s="329">
        <f t="shared" si="55"/>
        <v>405</v>
      </c>
      <c r="Q21" s="329">
        <f t="shared" si="55"/>
        <v>405</v>
      </c>
      <c r="R21" s="329">
        <f t="shared" si="55"/>
        <v>405</v>
      </c>
      <c r="S21" s="329">
        <f t="shared" si="55"/>
        <v>405</v>
      </c>
      <c r="T21" s="329">
        <f t="shared" si="55"/>
        <v>405</v>
      </c>
    </row>
    <row r="22" spans="2:20" x14ac:dyDescent="0.2">
      <c r="G22" s="207"/>
      <c r="H22" s="208"/>
      <c r="I22" s="194"/>
      <c r="J22" s="208"/>
      <c r="K22" s="194"/>
      <c r="L22" s="194"/>
      <c r="M22" s="207"/>
      <c r="N22" s="194"/>
      <c r="O22" s="194"/>
      <c r="P22" s="194"/>
      <c r="Q22" s="194"/>
      <c r="R22" s="194"/>
      <c r="S22" s="194"/>
      <c r="T22" s="194"/>
    </row>
    <row r="23" spans="2:20" x14ac:dyDescent="0.2">
      <c r="B23" s="16" t="s">
        <v>0</v>
      </c>
      <c r="C23" s="17"/>
      <c r="D23" s="17"/>
      <c r="E23" s="17"/>
      <c r="F23" s="18"/>
      <c r="G23" s="234"/>
      <c r="H23" s="209"/>
      <c r="I23" s="10"/>
      <c r="J23" s="209"/>
      <c r="K23" s="10"/>
      <c r="L23" s="10"/>
      <c r="M23" s="260"/>
      <c r="N23" s="10"/>
      <c r="O23" s="10"/>
      <c r="P23" s="10"/>
      <c r="Q23" s="10"/>
      <c r="R23" s="10"/>
      <c r="S23" s="10"/>
      <c r="T23" s="10"/>
    </row>
    <row r="24" spans="2:20" x14ac:dyDescent="0.2">
      <c r="D24" s="185"/>
      <c r="G24" s="203"/>
      <c r="H24" s="204"/>
      <c r="J24" s="204"/>
      <c r="M24" s="203"/>
    </row>
    <row r="25" spans="2:20" x14ac:dyDescent="0.2">
      <c r="F25" s="22" t="s">
        <v>220</v>
      </c>
      <c r="G25" s="210">
        <f>G9*G8*12</f>
        <v>136068</v>
      </c>
      <c r="H25" s="211"/>
      <c r="I25" s="210">
        <f>I9*I8*12</f>
        <v>142968</v>
      </c>
      <c r="J25" s="211"/>
      <c r="K25" s="210">
        <f>K9*K8*12</f>
        <v>165600</v>
      </c>
      <c r="L25" s="2"/>
      <c r="M25" s="210">
        <f t="shared" ref="M25:T25" si="56">M9*M8*12</f>
        <v>170568</v>
      </c>
      <c r="N25" s="2">
        <f t="shared" si="56"/>
        <v>175685.03999999998</v>
      </c>
      <c r="O25" s="2">
        <f t="shared" si="56"/>
        <v>180955.59120000002</v>
      </c>
      <c r="P25" s="2">
        <f t="shared" si="56"/>
        <v>186384.258936</v>
      </c>
      <c r="Q25" s="2">
        <f t="shared" si="56"/>
        <v>191975.78670408</v>
      </c>
      <c r="R25" s="2">
        <f t="shared" si="56"/>
        <v>197735.06030520241</v>
      </c>
      <c r="S25" s="2">
        <f t="shared" si="56"/>
        <v>203667.11211435846</v>
      </c>
      <c r="T25" s="2">
        <f t="shared" si="56"/>
        <v>209777.1254777892</v>
      </c>
    </row>
    <row r="26" spans="2:20" x14ac:dyDescent="0.2">
      <c r="F26" s="22" t="s">
        <v>221</v>
      </c>
      <c r="G26" s="210">
        <f>G11*G10*12</f>
        <v>109368</v>
      </c>
      <c r="H26" s="211"/>
      <c r="I26" s="2">
        <f>I11*I10*12</f>
        <v>113568</v>
      </c>
      <c r="J26" s="211"/>
      <c r="K26" s="2">
        <f>K11*K10*12</f>
        <v>117768</v>
      </c>
      <c r="L26" s="2"/>
      <c r="M26" s="210">
        <f t="shared" ref="M26:T26" si="57">M11*M10*12</f>
        <v>121301.04000000001</v>
      </c>
      <c r="N26" s="2">
        <f t="shared" si="57"/>
        <v>124940.07120000001</v>
      </c>
      <c r="O26" s="2">
        <f t="shared" si="57"/>
        <v>128688.27333600001</v>
      </c>
      <c r="P26" s="2">
        <f t="shared" si="57"/>
        <v>132548.92153608002</v>
      </c>
      <c r="Q26" s="2">
        <f t="shared" si="57"/>
        <v>136525.38918216241</v>
      </c>
      <c r="R26" s="2">
        <f t="shared" si="57"/>
        <v>140621.15085762728</v>
      </c>
      <c r="S26" s="2">
        <f t="shared" si="57"/>
        <v>144839.78538335609</v>
      </c>
      <c r="T26" s="2">
        <f t="shared" si="57"/>
        <v>149184.97894485679</v>
      </c>
    </row>
    <row r="27" spans="2:20" x14ac:dyDescent="0.2">
      <c r="F27" s="22" t="s">
        <v>222</v>
      </c>
      <c r="G27" s="210">
        <f>G13*G12*12</f>
        <v>2147904</v>
      </c>
      <c r="H27" s="211"/>
      <c r="I27" s="2">
        <f>I13*I12*12</f>
        <v>2215704</v>
      </c>
      <c r="J27" s="211"/>
      <c r="K27" s="2">
        <f>K13*K12*12</f>
        <v>2283504</v>
      </c>
      <c r="L27" s="2"/>
      <c r="M27" s="210">
        <f t="shared" ref="M27:T27" si="58">M13*M12*12</f>
        <v>2352009.12</v>
      </c>
      <c r="N27" s="2">
        <f t="shared" si="58"/>
        <v>2422569.3936000001</v>
      </c>
      <c r="O27" s="2">
        <f t="shared" si="58"/>
        <v>2495246.4754080004</v>
      </c>
      <c r="P27" s="2">
        <f t="shared" si="58"/>
        <v>2570103.8696702407</v>
      </c>
      <c r="Q27" s="2">
        <f t="shared" si="58"/>
        <v>2647206.9857603479</v>
      </c>
      <c r="R27" s="2">
        <f t="shared" si="58"/>
        <v>2726623.1953331581</v>
      </c>
      <c r="S27" s="2">
        <f t="shared" si="58"/>
        <v>2808421.8911931529</v>
      </c>
      <c r="T27" s="2">
        <f t="shared" si="58"/>
        <v>2892674.5479289475</v>
      </c>
    </row>
    <row r="28" spans="2:20" x14ac:dyDescent="0.2">
      <c r="F28" s="22" t="s">
        <v>223</v>
      </c>
      <c r="G28" s="210">
        <f>G14*G15*12</f>
        <v>1584000</v>
      </c>
      <c r="H28" s="211"/>
      <c r="I28" s="210">
        <f>I14*I15*12</f>
        <v>1623600</v>
      </c>
      <c r="J28" s="211"/>
      <c r="K28" s="210">
        <f>K14*K15*12</f>
        <v>1663200</v>
      </c>
      <c r="L28" s="2"/>
      <c r="M28" s="210">
        <f t="shared" ref="M28:T28" si="59">M14*M15*12</f>
        <v>1713096</v>
      </c>
      <c r="N28" s="2">
        <f t="shared" si="59"/>
        <v>1764488.88</v>
      </c>
      <c r="O28" s="2">
        <f t="shared" si="59"/>
        <v>1817423.5463999999</v>
      </c>
      <c r="P28" s="2">
        <f t="shared" si="59"/>
        <v>1871946.2527919998</v>
      </c>
      <c r="Q28" s="2">
        <f t="shared" si="59"/>
        <v>1928104.6403757599</v>
      </c>
      <c r="R28" s="2">
        <f t="shared" si="59"/>
        <v>1985947.7795870327</v>
      </c>
      <c r="S28" s="2">
        <f t="shared" si="59"/>
        <v>2045526.2129746438</v>
      </c>
      <c r="T28" s="2">
        <f t="shared" si="59"/>
        <v>2106891.9993638834</v>
      </c>
    </row>
    <row r="29" spans="2:20" x14ac:dyDescent="0.2">
      <c r="F29" s="22" t="s">
        <v>224</v>
      </c>
      <c r="G29" s="210">
        <f>G16*G17*12</f>
        <v>162120</v>
      </c>
      <c r="H29" s="211"/>
      <c r="I29" s="210">
        <f>I16*I17*12</f>
        <v>165120</v>
      </c>
      <c r="J29" s="211"/>
      <c r="K29" s="210">
        <f>K16*K17*12</f>
        <v>168120</v>
      </c>
      <c r="L29" s="2"/>
      <c r="M29" s="210">
        <f t="shared" ref="M29:T30" si="60">M16*M17*12</f>
        <v>173163.59999999998</v>
      </c>
      <c r="N29" s="2">
        <f t="shared" si="60"/>
        <v>178358.50799999997</v>
      </c>
      <c r="O29" s="2">
        <f t="shared" si="60"/>
        <v>183709.26324</v>
      </c>
      <c r="P29" s="2">
        <f t="shared" si="60"/>
        <v>189220.54113720002</v>
      </c>
      <c r="Q29" s="2">
        <f t="shared" si="60"/>
        <v>194897.15737131602</v>
      </c>
      <c r="R29" s="2">
        <f t="shared" si="60"/>
        <v>200744.07209245552</v>
      </c>
      <c r="S29" s="2">
        <f t="shared" si="60"/>
        <v>206766.39425522918</v>
      </c>
      <c r="T29" s="2">
        <f t="shared" si="60"/>
        <v>212969.38608288605</v>
      </c>
    </row>
    <row r="30" spans="2:20" x14ac:dyDescent="0.2">
      <c r="F30" s="22" t="s">
        <v>225</v>
      </c>
      <c r="G30" s="210">
        <f>G18*G19*12</f>
        <v>0</v>
      </c>
      <c r="H30" s="211"/>
      <c r="I30" s="210">
        <f>I17*I18*12</f>
        <v>0</v>
      </c>
      <c r="J30" s="211"/>
      <c r="K30" s="210">
        <f>K17*K18*12</f>
        <v>0</v>
      </c>
      <c r="L30" s="2"/>
      <c r="M30" s="210">
        <f t="shared" si="60"/>
        <v>0</v>
      </c>
      <c r="N30" s="2">
        <f t="shared" si="60"/>
        <v>0</v>
      </c>
      <c r="O30" s="2">
        <f t="shared" si="60"/>
        <v>0</v>
      </c>
      <c r="P30" s="2">
        <f t="shared" si="60"/>
        <v>0</v>
      </c>
      <c r="Q30" s="2">
        <f t="shared" si="60"/>
        <v>0</v>
      </c>
      <c r="R30" s="2">
        <f t="shared" si="60"/>
        <v>0</v>
      </c>
      <c r="S30" s="2">
        <f t="shared" si="60"/>
        <v>0</v>
      </c>
      <c r="T30" s="2">
        <f t="shared" si="60"/>
        <v>0</v>
      </c>
    </row>
    <row r="31" spans="2:20" x14ac:dyDescent="0.2">
      <c r="G31" s="210"/>
      <c r="H31" s="204"/>
      <c r="J31" s="204"/>
      <c r="M31" s="203"/>
    </row>
    <row r="32" spans="2:20" x14ac:dyDescent="0.2">
      <c r="C32" s="13" t="s">
        <v>16</v>
      </c>
      <c r="D32" s="13"/>
      <c r="E32" s="13"/>
      <c r="F32" s="13"/>
      <c r="G32" s="212">
        <f>G27+G26+G25+G28+G29+G30</f>
        <v>4139460</v>
      </c>
      <c r="H32" s="213"/>
      <c r="I32" s="212">
        <f>I27+I26+I25+I28+I29+I30</f>
        <v>4260960</v>
      </c>
      <c r="J32" s="213"/>
      <c r="K32" s="212">
        <f>K27+K26+K25+K28+K29+K30</f>
        <v>4398192</v>
      </c>
      <c r="L32" s="14"/>
      <c r="M32" s="212">
        <f t="shared" ref="M32:T32" si="61">M27+M26+M25+M28+M29+M30</f>
        <v>4530137.76</v>
      </c>
      <c r="N32" s="14">
        <f t="shared" si="61"/>
        <v>4666041.8928000005</v>
      </c>
      <c r="O32" s="14">
        <f t="shared" si="61"/>
        <v>4806023.1495840009</v>
      </c>
      <c r="P32" s="14">
        <f t="shared" si="61"/>
        <v>4950203.8440715205</v>
      </c>
      <c r="Q32" s="14">
        <f t="shared" si="61"/>
        <v>5098709.9593936671</v>
      </c>
      <c r="R32" s="14">
        <f t="shared" si="61"/>
        <v>5251671.2581754765</v>
      </c>
      <c r="S32" s="14">
        <f t="shared" si="61"/>
        <v>5409221.3959207414</v>
      </c>
      <c r="T32" s="14">
        <f t="shared" si="61"/>
        <v>5571498.0377983628</v>
      </c>
    </row>
    <row r="33" spans="3:20" x14ac:dyDescent="0.2">
      <c r="C33" s="192"/>
      <c r="D33" s="192"/>
      <c r="E33" s="192"/>
      <c r="F33" s="192"/>
      <c r="G33" s="214"/>
      <c r="H33" s="215"/>
      <c r="I33" s="193"/>
      <c r="J33" s="215"/>
      <c r="K33" s="193"/>
      <c r="L33" s="193"/>
      <c r="M33" s="214"/>
      <c r="N33" s="193"/>
      <c r="O33" s="193"/>
      <c r="P33" s="193"/>
      <c r="Q33" s="193"/>
      <c r="R33" s="193"/>
      <c r="S33" s="193"/>
      <c r="T33" s="193"/>
    </row>
    <row r="34" spans="3:20" x14ac:dyDescent="0.2">
      <c r="C34" s="1" t="s">
        <v>1</v>
      </c>
      <c r="G34" s="216">
        <v>0.1</v>
      </c>
      <c r="H34" s="217"/>
      <c r="I34" s="98">
        <v>0.15</v>
      </c>
      <c r="J34" s="217"/>
      <c r="K34" s="98">
        <v>0.1</v>
      </c>
      <c r="L34" s="98"/>
      <c r="M34" s="216">
        <v>0.06</v>
      </c>
      <c r="N34" s="98">
        <v>0.05</v>
      </c>
      <c r="O34" s="98">
        <v>0.05</v>
      </c>
      <c r="P34" s="98">
        <v>0.05</v>
      </c>
      <c r="Q34" s="98">
        <v>0.05</v>
      </c>
      <c r="R34" s="98">
        <v>0.05</v>
      </c>
      <c r="S34" s="98">
        <v>0.05</v>
      </c>
      <c r="T34" s="98">
        <v>0.05</v>
      </c>
    </row>
    <row r="35" spans="3:20" x14ac:dyDescent="0.2">
      <c r="G35" s="218">
        <f>G34*G32</f>
        <v>413946</v>
      </c>
      <c r="H35" s="219"/>
      <c r="I35" s="197">
        <f t="shared" ref="I35:T35" si="62">I34*I32</f>
        <v>639144</v>
      </c>
      <c r="J35" s="219"/>
      <c r="K35" s="197">
        <f t="shared" si="62"/>
        <v>439819.2</v>
      </c>
      <c r="L35" s="197"/>
      <c r="M35" s="218">
        <f t="shared" si="62"/>
        <v>271808.26559999998</v>
      </c>
      <c r="N35" s="197">
        <f t="shared" si="62"/>
        <v>233302.09464000002</v>
      </c>
      <c r="O35" s="197">
        <f t="shared" si="62"/>
        <v>240301.15747920005</v>
      </c>
      <c r="P35" s="197">
        <f t="shared" si="62"/>
        <v>247510.19220357604</v>
      </c>
      <c r="Q35" s="197">
        <f t="shared" si="62"/>
        <v>254935.49796968338</v>
      </c>
      <c r="R35" s="197">
        <f t="shared" si="62"/>
        <v>262583.56290877383</v>
      </c>
      <c r="S35" s="197">
        <f t="shared" si="62"/>
        <v>270461.0697960371</v>
      </c>
      <c r="T35" s="197">
        <f t="shared" si="62"/>
        <v>278574.90188991814</v>
      </c>
    </row>
    <row r="36" spans="3:20" x14ac:dyDescent="0.2">
      <c r="C36" s="1" t="s">
        <v>2</v>
      </c>
      <c r="G36" s="216">
        <v>3.5200000000000002E-2</v>
      </c>
      <c r="H36" s="221"/>
      <c r="I36" s="3">
        <v>0.02</v>
      </c>
      <c r="J36" s="221"/>
      <c r="K36" s="3">
        <v>0.01</v>
      </c>
      <c r="L36" s="3"/>
      <c r="M36" s="220">
        <v>5.0000000000000001E-3</v>
      </c>
      <c r="N36" s="3">
        <v>5.0000000000000001E-3</v>
      </c>
      <c r="O36" s="3">
        <v>5.0000000000000001E-3</v>
      </c>
      <c r="P36" s="3">
        <v>5.0000000000000001E-3</v>
      </c>
      <c r="Q36" s="3">
        <v>5.0000000000000001E-3</v>
      </c>
      <c r="R36" s="3">
        <v>5.0000000000000001E-3</v>
      </c>
      <c r="S36" s="3">
        <v>5.0000000000000001E-3</v>
      </c>
      <c r="T36" s="3">
        <v>5.0000000000000001E-3</v>
      </c>
    </row>
    <row r="37" spans="3:20" x14ac:dyDescent="0.2">
      <c r="G37" s="218">
        <f>G36*G32</f>
        <v>145708.992</v>
      </c>
      <c r="H37" s="219"/>
      <c r="I37" s="197">
        <f t="shared" ref="I37:T37" si="63">I36*I32</f>
        <v>85219.199999999997</v>
      </c>
      <c r="J37" s="219"/>
      <c r="K37" s="197">
        <f t="shared" si="63"/>
        <v>43981.919999999998</v>
      </c>
      <c r="L37" s="197"/>
      <c r="M37" s="218">
        <f t="shared" si="63"/>
        <v>22650.6888</v>
      </c>
      <c r="N37" s="197">
        <f t="shared" si="63"/>
        <v>23330.209464000003</v>
      </c>
      <c r="O37" s="197">
        <f t="shared" si="63"/>
        <v>24030.115747920005</v>
      </c>
      <c r="P37" s="197">
        <f t="shared" si="63"/>
        <v>24751.019220357604</v>
      </c>
      <c r="Q37" s="197">
        <f t="shared" si="63"/>
        <v>25493.549796968335</v>
      </c>
      <c r="R37" s="197">
        <f t="shared" si="63"/>
        <v>26258.356290877382</v>
      </c>
      <c r="S37" s="197">
        <f t="shared" si="63"/>
        <v>27046.106979603708</v>
      </c>
      <c r="T37" s="197">
        <f t="shared" si="63"/>
        <v>27857.490188991815</v>
      </c>
    </row>
    <row r="38" spans="3:20" x14ac:dyDescent="0.2">
      <c r="C38" s="1" t="s">
        <v>226</v>
      </c>
      <c r="G38" s="220">
        <v>1.6E-2</v>
      </c>
      <c r="H38" s="221"/>
      <c r="I38" s="3">
        <v>0.03</v>
      </c>
      <c r="J38" s="221"/>
      <c r="K38" s="3">
        <v>0.02</v>
      </c>
      <c r="L38" s="3"/>
      <c r="M38" s="220">
        <v>5.0000000000000001E-3</v>
      </c>
      <c r="N38" s="3">
        <v>5.0000000000000001E-3</v>
      </c>
      <c r="O38" s="3">
        <v>5.0000000000000001E-3</v>
      </c>
      <c r="P38" s="3">
        <v>5.0000000000000001E-3</v>
      </c>
      <c r="Q38" s="3">
        <v>5.0000000000000001E-3</v>
      </c>
      <c r="R38" s="3">
        <v>5.0000000000000001E-3</v>
      </c>
      <c r="S38" s="3">
        <v>5.0000000000000001E-3</v>
      </c>
      <c r="T38" s="3">
        <v>5.0000000000000001E-3</v>
      </c>
    </row>
    <row r="39" spans="3:20" x14ac:dyDescent="0.2">
      <c r="E39" s="3"/>
      <c r="G39" s="222">
        <f>G38*G32</f>
        <v>66231.360000000001</v>
      </c>
      <c r="H39" s="223"/>
      <c r="I39" s="198">
        <f>I38*I32</f>
        <v>127828.79999999999</v>
      </c>
      <c r="J39" s="223"/>
      <c r="K39" s="198">
        <f>K38*K32</f>
        <v>87963.839999999997</v>
      </c>
      <c r="L39" s="198"/>
      <c r="M39" s="222">
        <f t="shared" ref="M39:T39" si="64">M38*M32</f>
        <v>22650.6888</v>
      </c>
      <c r="N39" s="198">
        <f t="shared" si="64"/>
        <v>23330.209464000003</v>
      </c>
      <c r="O39" s="198">
        <f t="shared" si="64"/>
        <v>24030.115747920005</v>
      </c>
      <c r="P39" s="198">
        <f t="shared" si="64"/>
        <v>24751.019220357604</v>
      </c>
      <c r="Q39" s="198">
        <f t="shared" si="64"/>
        <v>25493.549796968335</v>
      </c>
      <c r="R39" s="198">
        <f t="shared" si="64"/>
        <v>26258.356290877382</v>
      </c>
      <c r="S39" s="198">
        <f t="shared" si="64"/>
        <v>27046.106979603708</v>
      </c>
      <c r="T39" s="198">
        <f t="shared" si="64"/>
        <v>27857.490188991815</v>
      </c>
    </row>
    <row r="40" spans="3:20" x14ac:dyDescent="0.2">
      <c r="C40" s="1" t="s">
        <v>227</v>
      </c>
      <c r="E40" s="3"/>
      <c r="G40" s="331">
        <v>0</v>
      </c>
      <c r="H40" s="223"/>
      <c r="I40" s="330">
        <v>5.0000000000000001E-3</v>
      </c>
      <c r="J40" s="223"/>
      <c r="K40" s="330">
        <v>5.0000000000000001E-3</v>
      </c>
      <c r="L40" s="198"/>
      <c r="M40" s="331">
        <v>5.0000000000000001E-3</v>
      </c>
      <c r="N40" s="330">
        <v>5.0000000000000001E-3</v>
      </c>
      <c r="O40" s="330">
        <v>5.0000000000000001E-3</v>
      </c>
      <c r="P40" s="330">
        <v>5.0000000000000001E-3</v>
      </c>
      <c r="Q40" s="330">
        <v>5.0000000000000001E-3</v>
      </c>
      <c r="R40" s="330">
        <v>5.0000000000000001E-3</v>
      </c>
      <c r="S40" s="330">
        <v>5.0000000000000001E-3</v>
      </c>
      <c r="T40" s="330">
        <v>5.0000000000000001E-3</v>
      </c>
    </row>
    <row r="41" spans="3:20" x14ac:dyDescent="0.2">
      <c r="E41" s="3"/>
      <c r="G41" s="222">
        <f>G40*G32</f>
        <v>0</v>
      </c>
      <c r="H41" s="223"/>
      <c r="I41" s="222">
        <f>I40*I32</f>
        <v>21304.799999999999</v>
      </c>
      <c r="J41" s="223"/>
      <c r="K41" s="222">
        <f>K40*K32</f>
        <v>21990.959999999999</v>
      </c>
      <c r="L41" s="198"/>
      <c r="M41" s="222">
        <f>M40*M32</f>
        <v>22650.6888</v>
      </c>
      <c r="N41" s="198">
        <f>N40*N32</f>
        <v>23330.209464000003</v>
      </c>
      <c r="O41" s="198">
        <f t="shared" ref="O41:T41" si="65">O40*O32</f>
        <v>24030.115747920005</v>
      </c>
      <c r="P41" s="198">
        <f t="shared" si="65"/>
        <v>24751.019220357604</v>
      </c>
      <c r="Q41" s="198">
        <f t="shared" si="65"/>
        <v>25493.549796968335</v>
      </c>
      <c r="R41" s="198">
        <f t="shared" si="65"/>
        <v>26258.356290877382</v>
      </c>
      <c r="S41" s="198">
        <f t="shared" si="65"/>
        <v>27046.106979603708</v>
      </c>
      <c r="T41" s="198">
        <f t="shared" si="65"/>
        <v>27857.490188991815</v>
      </c>
    </row>
    <row r="42" spans="3:20" x14ac:dyDescent="0.2">
      <c r="E42" s="3"/>
      <c r="G42" s="222"/>
      <c r="H42" s="223"/>
      <c r="I42" s="198"/>
      <c r="J42" s="223"/>
      <c r="K42" s="198"/>
      <c r="L42" s="198"/>
      <c r="M42" s="222"/>
      <c r="N42" s="198"/>
      <c r="O42" s="198"/>
      <c r="P42" s="198"/>
      <c r="Q42" s="198"/>
      <c r="R42" s="198"/>
      <c r="S42" s="198"/>
      <c r="T42" s="198"/>
    </row>
    <row r="43" spans="3:20" x14ac:dyDescent="0.2">
      <c r="C43" s="1" t="s">
        <v>131</v>
      </c>
      <c r="E43" s="3"/>
      <c r="G43" s="222">
        <f>G39+G37+G35+G41</f>
        <v>625886.35199999996</v>
      </c>
      <c r="H43" s="223"/>
      <c r="I43" s="198">
        <f>I39+I37+I35</f>
        <v>852192</v>
      </c>
      <c r="J43" s="223"/>
      <c r="K43" s="198">
        <f>K39+K37+K35</f>
        <v>571764.96</v>
      </c>
      <c r="L43" s="198"/>
      <c r="M43" s="222">
        <f t="shared" ref="M43:T43" si="66">M39+M37+M35</f>
        <v>317109.64319999999</v>
      </c>
      <c r="N43" s="198">
        <f t="shared" si="66"/>
        <v>279962.51356800005</v>
      </c>
      <c r="O43" s="198">
        <f t="shared" si="66"/>
        <v>288361.38897504006</v>
      </c>
      <c r="P43" s="198">
        <f t="shared" si="66"/>
        <v>297012.23064429127</v>
      </c>
      <c r="Q43" s="198">
        <f t="shared" si="66"/>
        <v>305922.59756362007</v>
      </c>
      <c r="R43" s="198">
        <f t="shared" si="66"/>
        <v>315100.27549052861</v>
      </c>
      <c r="S43" s="198">
        <f t="shared" si="66"/>
        <v>324553.28375524451</v>
      </c>
      <c r="T43" s="198">
        <f t="shared" si="66"/>
        <v>334289.88226790179</v>
      </c>
    </row>
    <row r="44" spans="3:20" x14ac:dyDescent="0.2">
      <c r="E44" s="3"/>
      <c r="G44" s="222"/>
      <c r="H44" s="223"/>
      <c r="I44" s="198"/>
      <c r="J44" s="223"/>
      <c r="K44" s="198"/>
      <c r="L44" s="198"/>
      <c r="M44" s="222"/>
      <c r="N44" s="198"/>
      <c r="O44" s="198"/>
      <c r="P44" s="198"/>
      <c r="Q44" s="198"/>
      <c r="R44" s="198"/>
      <c r="S44" s="198"/>
      <c r="T44" s="198"/>
    </row>
    <row r="45" spans="3:20" x14ac:dyDescent="0.2">
      <c r="C45" s="12" t="s">
        <v>159</v>
      </c>
      <c r="D45" s="12"/>
      <c r="E45" s="196"/>
      <c r="F45" s="12"/>
      <c r="G45" s="224">
        <f>G32-G43</f>
        <v>3513573.648</v>
      </c>
      <c r="H45" s="225"/>
      <c r="I45" s="199">
        <f>I32-I43</f>
        <v>3408768</v>
      </c>
      <c r="J45" s="225"/>
      <c r="K45" s="199">
        <f>K32-K43</f>
        <v>3826427.04</v>
      </c>
      <c r="L45" s="199"/>
      <c r="M45" s="224">
        <f t="shared" ref="M45:T45" si="67">M32-M43</f>
        <v>4213028.1168</v>
      </c>
      <c r="N45" s="199">
        <f t="shared" si="67"/>
        <v>4386079.3792320006</v>
      </c>
      <c r="O45" s="199">
        <f t="shared" si="67"/>
        <v>4517661.7606089609</v>
      </c>
      <c r="P45" s="199">
        <f t="shared" si="67"/>
        <v>4653191.6134272292</v>
      </c>
      <c r="Q45" s="199">
        <f t="shared" si="67"/>
        <v>4792787.3618300473</v>
      </c>
      <c r="R45" s="199">
        <f t="shared" si="67"/>
        <v>4936570.9826849476</v>
      </c>
      <c r="S45" s="199">
        <f t="shared" si="67"/>
        <v>5084668.1121654967</v>
      </c>
      <c r="T45" s="199">
        <f t="shared" si="67"/>
        <v>5237208.1555304611</v>
      </c>
    </row>
    <row r="46" spans="3:20" x14ac:dyDescent="0.2">
      <c r="G46" s="210"/>
      <c r="H46" s="211"/>
      <c r="I46" s="2"/>
      <c r="J46" s="211"/>
      <c r="K46" s="2"/>
      <c r="L46" s="2"/>
      <c r="M46" s="210"/>
      <c r="N46" s="2"/>
    </row>
    <row r="47" spans="3:20" x14ac:dyDescent="0.2">
      <c r="C47" s="1" t="s">
        <v>151</v>
      </c>
      <c r="G47" s="210">
        <f>50000+175363</f>
        <v>225363</v>
      </c>
      <c r="H47" s="211"/>
      <c r="I47" s="2">
        <f>G47*1.03</f>
        <v>232123.89</v>
      </c>
      <c r="J47" s="211"/>
      <c r="K47" s="2">
        <f>I47*1.03</f>
        <v>239087.60670000003</v>
      </c>
      <c r="L47" s="2"/>
      <c r="M47" s="210">
        <f>K47*1.03</f>
        <v>246260.23490100005</v>
      </c>
      <c r="N47" s="2">
        <f t="shared" ref="N47:T49" si="68">M47*1.03</f>
        <v>253648.04194803006</v>
      </c>
      <c r="O47" s="2">
        <f t="shared" si="68"/>
        <v>261257.48320647096</v>
      </c>
      <c r="P47" s="2">
        <f t="shared" si="68"/>
        <v>269095.20770266512</v>
      </c>
      <c r="Q47" s="2">
        <f t="shared" si="68"/>
        <v>277168.06393374508</v>
      </c>
      <c r="R47" s="2">
        <f t="shared" si="68"/>
        <v>285483.10585175746</v>
      </c>
      <c r="S47" s="2">
        <f t="shared" si="68"/>
        <v>294047.59902731021</v>
      </c>
      <c r="T47" s="2">
        <f t="shared" si="68"/>
        <v>302869.0269981295</v>
      </c>
    </row>
    <row r="48" spans="3:20" x14ac:dyDescent="0.2">
      <c r="C48" s="1" t="s">
        <v>166</v>
      </c>
      <c r="G48" s="210">
        <v>3039</v>
      </c>
      <c r="H48" s="211"/>
      <c r="I48" s="2">
        <f t="shared" ref="I48:I56" si="69">G48</f>
        <v>3039</v>
      </c>
      <c r="J48" s="211"/>
      <c r="K48" s="2">
        <f t="shared" ref="K48:K56" si="70">I48*1.03</f>
        <v>3130.17</v>
      </c>
      <c r="L48" s="2"/>
      <c r="M48" s="210">
        <f>K48*1.03</f>
        <v>3224.0751</v>
      </c>
      <c r="N48" s="2">
        <f t="shared" ref="N48" si="71">M48*1.03</f>
        <v>3320.7973529999999</v>
      </c>
      <c r="O48" s="2">
        <f t="shared" ref="O48" si="72">N48*1.03</f>
        <v>3420.4212735900001</v>
      </c>
      <c r="P48" s="2">
        <f t="shared" ref="P48" si="73">O48*1.03</f>
        <v>3523.0339117977001</v>
      </c>
      <c r="Q48" s="2">
        <f t="shared" ref="Q48" si="74">P48*1.03</f>
        <v>3628.7249291516309</v>
      </c>
      <c r="R48" s="2">
        <f t="shared" ref="R48" si="75">Q48*1.03</f>
        <v>3737.58667702618</v>
      </c>
      <c r="S48" s="2">
        <f t="shared" ref="S48" si="76">R48*1.03</f>
        <v>3849.7142773369656</v>
      </c>
      <c r="T48" s="2">
        <f t="shared" ref="T48" si="77">S48*1.03</f>
        <v>3965.2057056570748</v>
      </c>
    </row>
    <row r="49" spans="2:32" x14ac:dyDescent="0.2">
      <c r="C49" s="1" t="s">
        <v>15</v>
      </c>
      <c r="G49" s="210">
        <v>24000</v>
      </c>
      <c r="H49" s="211"/>
      <c r="I49" s="2">
        <f t="shared" si="69"/>
        <v>24000</v>
      </c>
      <c r="J49" s="211"/>
      <c r="K49" s="2">
        <f t="shared" si="70"/>
        <v>24720</v>
      </c>
      <c r="L49" s="2"/>
      <c r="M49" s="210">
        <f t="shared" ref="M49" si="78">K49*1.03</f>
        <v>25461.600000000002</v>
      </c>
      <c r="N49" s="2">
        <f t="shared" si="68"/>
        <v>26225.448000000004</v>
      </c>
      <c r="O49" s="2">
        <f t="shared" si="68"/>
        <v>27012.211440000006</v>
      </c>
      <c r="P49" s="2">
        <f t="shared" si="68"/>
        <v>27822.577783200006</v>
      </c>
      <c r="Q49" s="2">
        <f t="shared" si="68"/>
        <v>28657.255116696007</v>
      </c>
      <c r="R49" s="2">
        <f t="shared" si="68"/>
        <v>29516.972770196888</v>
      </c>
      <c r="S49" s="2">
        <f t="shared" si="68"/>
        <v>30402.481953302795</v>
      </c>
      <c r="T49" s="2">
        <f t="shared" si="68"/>
        <v>31314.556411901878</v>
      </c>
    </row>
    <row r="50" spans="2:32" x14ac:dyDescent="0.2">
      <c r="C50" s="1" t="s">
        <v>228</v>
      </c>
      <c r="G50" s="210"/>
      <c r="H50" s="211"/>
      <c r="I50" s="2">
        <f t="shared" si="69"/>
        <v>0</v>
      </c>
      <c r="J50" s="211"/>
      <c r="K50" s="2">
        <f t="shared" si="70"/>
        <v>0</v>
      </c>
      <c r="L50" s="2"/>
      <c r="M50" s="210">
        <f t="shared" ref="M50" si="79">K50*1.03</f>
        <v>0</v>
      </c>
      <c r="N50" s="2">
        <f t="shared" ref="N50" si="80">M50*1.03</f>
        <v>0</v>
      </c>
      <c r="O50" s="2">
        <f t="shared" ref="O50" si="81">N50*1.03</f>
        <v>0</v>
      </c>
      <c r="P50" s="2">
        <f t="shared" ref="P50" si="82">O50*1.03</f>
        <v>0</v>
      </c>
      <c r="Q50" s="2">
        <f t="shared" ref="Q50" si="83">P50*1.03</f>
        <v>0</v>
      </c>
      <c r="R50" s="2">
        <f t="shared" ref="R50" si="84">Q50*1.03</f>
        <v>0</v>
      </c>
      <c r="S50" s="2">
        <f t="shared" ref="S50" si="85">R50*1.03</f>
        <v>0</v>
      </c>
      <c r="T50" s="2">
        <f t="shared" ref="T50" si="86">S50*1.03</f>
        <v>0</v>
      </c>
    </row>
    <row r="51" spans="2:32" x14ac:dyDescent="0.2">
      <c r="C51" s="1" t="s">
        <v>233</v>
      </c>
      <c r="G51" s="210"/>
      <c r="H51" s="211"/>
      <c r="I51" s="2">
        <f t="shared" si="69"/>
        <v>0</v>
      </c>
      <c r="J51" s="211"/>
      <c r="K51" s="2">
        <f t="shared" si="70"/>
        <v>0</v>
      </c>
      <c r="L51" s="2"/>
      <c r="M51" s="210">
        <f t="shared" ref="M51:M52" si="87">K51*1.03</f>
        <v>0</v>
      </c>
      <c r="N51" s="2">
        <f t="shared" ref="N51:N52" si="88">M51*1.03</f>
        <v>0</v>
      </c>
      <c r="O51" s="2">
        <f t="shared" ref="O51:O52" si="89">N51*1.03</f>
        <v>0</v>
      </c>
      <c r="P51" s="2">
        <f t="shared" ref="P51:P52" si="90">O51*1.03</f>
        <v>0</v>
      </c>
      <c r="Q51" s="2">
        <f t="shared" ref="Q51:Q52" si="91">P51*1.03</f>
        <v>0</v>
      </c>
      <c r="R51" s="2">
        <f t="shared" ref="R51:R52" si="92">Q51*1.03</f>
        <v>0</v>
      </c>
      <c r="S51" s="2">
        <f t="shared" ref="S51:S52" si="93">R51*1.03</f>
        <v>0</v>
      </c>
      <c r="T51" s="2">
        <f t="shared" ref="T51:T52" si="94">S51*1.03</f>
        <v>0</v>
      </c>
    </row>
    <row r="52" spans="2:32" x14ac:dyDescent="0.2">
      <c r="C52" s="1" t="s">
        <v>232</v>
      </c>
      <c r="G52" s="210"/>
      <c r="H52" s="211"/>
      <c r="I52" s="2">
        <f t="shared" si="69"/>
        <v>0</v>
      </c>
      <c r="J52" s="211"/>
      <c r="K52" s="2">
        <f t="shared" si="70"/>
        <v>0</v>
      </c>
      <c r="L52" s="2"/>
      <c r="M52" s="210">
        <f t="shared" si="87"/>
        <v>0</v>
      </c>
      <c r="N52" s="2">
        <f t="shared" si="88"/>
        <v>0</v>
      </c>
      <c r="O52" s="2">
        <f t="shared" si="89"/>
        <v>0</v>
      </c>
      <c r="P52" s="2">
        <f t="shared" si="90"/>
        <v>0</v>
      </c>
      <c r="Q52" s="2">
        <f t="shared" si="91"/>
        <v>0</v>
      </c>
      <c r="R52" s="2">
        <f t="shared" si="92"/>
        <v>0</v>
      </c>
      <c r="S52" s="2">
        <f t="shared" si="93"/>
        <v>0</v>
      </c>
      <c r="T52" s="2">
        <f t="shared" si="94"/>
        <v>0</v>
      </c>
    </row>
    <row r="53" spans="2:32" x14ac:dyDescent="0.2">
      <c r="C53" s="1" t="s">
        <v>229</v>
      </c>
      <c r="G53" s="210">
        <v>3500</v>
      </c>
      <c r="H53" s="211"/>
      <c r="I53" s="2">
        <f t="shared" si="69"/>
        <v>3500</v>
      </c>
      <c r="J53" s="211"/>
      <c r="K53" s="2">
        <f t="shared" si="70"/>
        <v>3605</v>
      </c>
      <c r="L53" s="2"/>
      <c r="M53" s="210">
        <f t="shared" ref="M53" si="95">K53*1.03</f>
        <v>3713.15</v>
      </c>
      <c r="N53" s="2">
        <f t="shared" ref="N53" si="96">M53*1.03</f>
        <v>3824.5445</v>
      </c>
      <c r="O53" s="2">
        <f t="shared" ref="O53" si="97">N53*1.03</f>
        <v>3939.280835</v>
      </c>
      <c r="P53" s="2">
        <f t="shared" ref="P53" si="98">O53*1.03</f>
        <v>4057.45926005</v>
      </c>
      <c r="Q53" s="2">
        <f t="shared" ref="Q53" si="99">P53*1.03</f>
        <v>4179.1830378515006</v>
      </c>
      <c r="R53" s="2">
        <f t="shared" ref="R53" si="100">Q53*1.03</f>
        <v>4304.558528987046</v>
      </c>
      <c r="S53" s="2">
        <f t="shared" ref="S53" si="101">R53*1.03</f>
        <v>4433.6952848566571</v>
      </c>
      <c r="T53" s="2">
        <f t="shared" ref="T53" si="102">S53*1.03</f>
        <v>4566.7061434023572</v>
      </c>
    </row>
    <row r="54" spans="2:32" x14ac:dyDescent="0.2">
      <c r="C54" s="1" t="s">
        <v>230</v>
      </c>
      <c r="G54" s="210">
        <v>8933</v>
      </c>
      <c r="H54" s="211"/>
      <c r="I54" s="2">
        <f t="shared" si="69"/>
        <v>8933</v>
      </c>
      <c r="J54" s="211"/>
      <c r="K54" s="2">
        <f t="shared" si="70"/>
        <v>9200.99</v>
      </c>
      <c r="L54" s="2"/>
      <c r="M54" s="210">
        <f t="shared" ref="M54" si="103">K54*1.03</f>
        <v>9477.0197000000007</v>
      </c>
      <c r="N54" s="2">
        <f t="shared" ref="N54" si="104">M54*1.03</f>
        <v>9761.3302910000002</v>
      </c>
      <c r="O54" s="2">
        <f t="shared" ref="O54" si="105">N54*1.03</f>
        <v>10054.170199730001</v>
      </c>
      <c r="P54" s="2">
        <f t="shared" ref="P54" si="106">O54*1.03</f>
        <v>10355.7953057219</v>
      </c>
      <c r="Q54" s="2">
        <f t="shared" ref="Q54" si="107">P54*1.03</f>
        <v>10666.469164893557</v>
      </c>
      <c r="R54" s="2">
        <f t="shared" ref="R54" si="108">Q54*1.03</f>
        <v>10986.463239840365</v>
      </c>
      <c r="S54" s="2">
        <f t="shared" ref="S54" si="109">R54*1.03</f>
        <v>11316.057137035576</v>
      </c>
      <c r="T54" s="2">
        <f t="shared" ref="T54" si="110">S54*1.03</f>
        <v>11655.538851146643</v>
      </c>
    </row>
    <row r="55" spans="2:32" x14ac:dyDescent="0.2">
      <c r="C55" s="1" t="s">
        <v>231</v>
      </c>
      <c r="G55" s="210"/>
      <c r="H55" s="211"/>
      <c r="I55" s="2">
        <f t="shared" si="69"/>
        <v>0</v>
      </c>
      <c r="J55" s="211"/>
      <c r="K55" s="2">
        <f t="shared" si="70"/>
        <v>0</v>
      </c>
      <c r="L55" s="2"/>
      <c r="M55" s="210">
        <f t="shared" ref="M55" si="111">K55*1.03</f>
        <v>0</v>
      </c>
      <c r="N55" s="2">
        <f t="shared" ref="N55" si="112">M55*1.03</f>
        <v>0</v>
      </c>
      <c r="O55" s="2">
        <f t="shared" ref="O55" si="113">N55*1.03</f>
        <v>0</v>
      </c>
      <c r="P55" s="2">
        <f t="shared" ref="P55" si="114">O55*1.03</f>
        <v>0</v>
      </c>
      <c r="Q55" s="2">
        <f t="shared" ref="Q55" si="115">P55*1.03</f>
        <v>0</v>
      </c>
      <c r="R55" s="2">
        <f t="shared" ref="R55" si="116">Q55*1.03</f>
        <v>0</v>
      </c>
      <c r="S55" s="2">
        <f t="shared" ref="S55" si="117">R55*1.03</f>
        <v>0</v>
      </c>
      <c r="T55" s="2">
        <f t="shared" ref="T55" si="118">S55*1.03</f>
        <v>0</v>
      </c>
    </row>
    <row r="56" spans="2:32" x14ac:dyDescent="0.2">
      <c r="C56" s="1" t="s">
        <v>178</v>
      </c>
      <c r="G56" s="210">
        <f>17512+40000</f>
        <v>57512</v>
      </c>
      <c r="H56" s="211"/>
      <c r="I56" s="2">
        <f t="shared" si="69"/>
        <v>57512</v>
      </c>
      <c r="J56" s="211"/>
      <c r="K56" s="2">
        <f t="shared" si="70"/>
        <v>59237.36</v>
      </c>
      <c r="L56" s="2"/>
      <c r="M56" s="210">
        <f>K56*1.03</f>
        <v>61014.480800000005</v>
      </c>
      <c r="N56" s="2">
        <f t="shared" ref="N56:T56" si="119">M56*1.03</f>
        <v>62844.915224000004</v>
      </c>
      <c r="O56" s="2">
        <f t="shared" si="119"/>
        <v>64730.262680720007</v>
      </c>
      <c r="P56" s="2">
        <f t="shared" si="119"/>
        <v>66672.170561141611</v>
      </c>
      <c r="Q56" s="2">
        <f t="shared" si="119"/>
        <v>68672.335677975861</v>
      </c>
      <c r="R56" s="2">
        <f t="shared" si="119"/>
        <v>70732.505748315132</v>
      </c>
      <c r="S56" s="2">
        <f t="shared" si="119"/>
        <v>72854.480920764589</v>
      </c>
      <c r="T56" s="2">
        <f t="shared" si="119"/>
        <v>75040.115348387524</v>
      </c>
    </row>
    <row r="57" spans="2:32" x14ac:dyDescent="0.2">
      <c r="C57" s="1" t="s">
        <v>131</v>
      </c>
      <c r="G57" s="210">
        <f>SUM(G47:G56)</f>
        <v>322347</v>
      </c>
      <c r="H57" s="211"/>
      <c r="I57" s="210">
        <f>SUM(I47:I56)</f>
        <v>329107.89</v>
      </c>
      <c r="J57" s="211"/>
      <c r="K57" s="210">
        <f>SUM(K47:K56)</f>
        <v>338981.12670000002</v>
      </c>
      <c r="L57" s="2"/>
      <c r="M57" s="210">
        <f t="shared" ref="M57:T57" si="120">SUM(M47:M56)</f>
        <v>349150.56050100009</v>
      </c>
      <c r="N57" s="2">
        <f t="shared" si="120"/>
        <v>359625.0773160301</v>
      </c>
      <c r="O57" s="2">
        <f t="shared" si="120"/>
        <v>370413.82963551098</v>
      </c>
      <c r="P57" s="2">
        <f t="shared" si="120"/>
        <v>381526.24452457635</v>
      </c>
      <c r="Q57" s="2">
        <f t="shared" si="120"/>
        <v>392972.03186031361</v>
      </c>
      <c r="R57" s="2">
        <f t="shared" si="120"/>
        <v>404761.19281612308</v>
      </c>
      <c r="S57" s="2">
        <f t="shared" si="120"/>
        <v>416904.02860060683</v>
      </c>
      <c r="T57" s="2">
        <f t="shared" si="120"/>
        <v>429411.149458625</v>
      </c>
    </row>
    <row r="58" spans="2:32" x14ac:dyDescent="0.2">
      <c r="E58" s="3"/>
      <c r="G58" s="210"/>
      <c r="H58" s="211"/>
      <c r="I58" s="2"/>
      <c r="J58" s="211"/>
      <c r="K58" s="2"/>
      <c r="L58" s="2"/>
      <c r="M58" s="210"/>
      <c r="N58" s="2"/>
    </row>
    <row r="59" spans="2:32" x14ac:dyDescent="0.2">
      <c r="B59" s="16" t="s">
        <v>14</v>
      </c>
      <c r="C59" s="17"/>
      <c r="D59" s="17"/>
      <c r="E59" s="17"/>
      <c r="F59" s="17"/>
      <c r="G59" s="226">
        <f>G57+G45</f>
        <v>3835920.648</v>
      </c>
      <c r="H59" s="227"/>
      <c r="I59" s="19">
        <f>I57+I45</f>
        <v>3737875.89</v>
      </c>
      <c r="J59" s="227"/>
      <c r="K59" s="19">
        <f>K57+K45</f>
        <v>4165408.1666999999</v>
      </c>
      <c r="L59" s="19"/>
      <c r="M59" s="226">
        <f t="shared" ref="M59:T59" si="121">M57+M45</f>
        <v>4562178.6773009999</v>
      </c>
      <c r="N59" s="19">
        <f t="shared" si="121"/>
        <v>4745704.4565480305</v>
      </c>
      <c r="O59" s="19">
        <f t="shared" si="121"/>
        <v>4888075.590244472</v>
      </c>
      <c r="P59" s="19">
        <f t="shared" si="121"/>
        <v>5034717.8579518059</v>
      </c>
      <c r="Q59" s="19">
        <f t="shared" si="121"/>
        <v>5185759.3936903607</v>
      </c>
      <c r="R59" s="19">
        <f t="shared" si="121"/>
        <v>5341332.1755010709</v>
      </c>
      <c r="S59" s="19">
        <f t="shared" si="121"/>
        <v>5501572.1407661038</v>
      </c>
      <c r="T59" s="19">
        <f t="shared" si="121"/>
        <v>5666619.3049890865</v>
      </c>
    </row>
    <row r="60" spans="2:32" x14ac:dyDescent="0.2">
      <c r="G60" s="210"/>
      <c r="H60" s="211"/>
      <c r="I60" s="2"/>
      <c r="J60" s="211"/>
      <c r="K60" s="2"/>
      <c r="L60" s="2"/>
      <c r="M60" s="210"/>
      <c r="N60" s="2"/>
    </row>
    <row r="61" spans="2:32" ht="15" x14ac:dyDescent="0.25">
      <c r="B61" s="16" t="s">
        <v>3</v>
      </c>
      <c r="C61" s="23"/>
      <c r="D61" s="23"/>
      <c r="E61" s="23"/>
      <c r="F61" s="23"/>
      <c r="G61" s="235"/>
      <c r="H61" s="228" t="s">
        <v>162</v>
      </c>
      <c r="I61" s="244"/>
      <c r="J61" s="228" t="s">
        <v>162</v>
      </c>
      <c r="K61" s="11"/>
      <c r="L61" s="11"/>
      <c r="M61" s="261"/>
      <c r="N61" s="11"/>
      <c r="O61" s="10"/>
      <c r="P61" s="10"/>
      <c r="Q61" s="10"/>
      <c r="R61" s="10"/>
      <c r="S61" s="10"/>
      <c r="T61" s="10"/>
    </row>
    <row r="62" spans="2:32" ht="15.75" thickBot="1" x14ac:dyDescent="0.3">
      <c r="B62" s="7"/>
      <c r="C62" s="8"/>
      <c r="D62" s="8"/>
      <c r="E62" s="8"/>
      <c r="F62" s="8"/>
      <c r="G62" s="236"/>
      <c r="H62" s="229"/>
      <c r="I62" s="2"/>
      <c r="J62" s="229"/>
      <c r="K62" s="2"/>
      <c r="L62" s="2"/>
      <c r="M62" s="262"/>
      <c r="N62" s="2"/>
    </row>
    <row r="63" spans="2:32" ht="16.5" thickBot="1" x14ac:dyDescent="0.3">
      <c r="B63" s="7"/>
      <c r="C63" s="8"/>
      <c r="D63" s="8"/>
      <c r="E63" s="24"/>
      <c r="F63" s="8"/>
      <c r="G63" s="236"/>
      <c r="H63" s="229"/>
      <c r="I63" s="2"/>
      <c r="J63" s="229"/>
      <c r="K63" s="340" t="s">
        <v>22</v>
      </c>
      <c r="L63" s="340"/>
      <c r="M63" s="340"/>
      <c r="N63" s="340"/>
      <c r="O63" s="340"/>
      <c r="P63" s="340"/>
      <c r="Q63" s="340"/>
      <c r="R63" s="340"/>
      <c r="S63" s="340"/>
      <c r="T63" s="341"/>
      <c r="W63" s="266" t="s">
        <v>179</v>
      </c>
      <c r="X63" s="267"/>
      <c r="Y63" s="268"/>
      <c r="Z63" s="269"/>
      <c r="AA63" s="269"/>
      <c r="AB63" s="269"/>
      <c r="AC63" s="269"/>
      <c r="AD63" s="269"/>
      <c r="AE63" s="269"/>
      <c r="AF63" s="269"/>
    </row>
    <row r="64" spans="2:32" x14ac:dyDescent="0.2">
      <c r="C64" s="4" t="s">
        <v>17</v>
      </c>
      <c r="G64" s="210">
        <v>22336</v>
      </c>
      <c r="H64" s="229">
        <f t="shared" ref="H64:H77" si="122">G64/$I$21</f>
        <v>55.150617283950616</v>
      </c>
      <c r="I64" s="2">
        <v>60000</v>
      </c>
      <c r="J64" s="229">
        <f t="shared" ref="J64:J77" si="123">I64/$I$21</f>
        <v>148.14814814814815</v>
      </c>
      <c r="K64" s="2">
        <f t="shared" ref="K64:K77" si="124">I64*1.03</f>
        <v>61800</v>
      </c>
      <c r="L64" s="2"/>
      <c r="M64" s="263">
        <f t="shared" ref="M64:M77" si="125">K64*1.03</f>
        <v>63654</v>
      </c>
      <c r="N64" s="2">
        <f t="shared" ref="N64:T74" si="126">M64*1.03</f>
        <v>65563.62</v>
      </c>
      <c r="O64" s="2">
        <f t="shared" si="126"/>
        <v>67530.528599999991</v>
      </c>
      <c r="P64" s="2">
        <f t="shared" si="126"/>
        <v>69556.444457999998</v>
      </c>
      <c r="Q64" s="2">
        <f t="shared" si="126"/>
        <v>71643.137791739995</v>
      </c>
      <c r="R64" s="2">
        <f t="shared" si="126"/>
        <v>73792.431925492201</v>
      </c>
      <c r="S64" s="2">
        <f t="shared" si="126"/>
        <v>76006.204883256971</v>
      </c>
      <c r="T64" s="2">
        <f t="shared" si="126"/>
        <v>78286.391029754683</v>
      </c>
      <c r="W64" s="270" t="s">
        <v>180</v>
      </c>
      <c r="X64" s="271">
        <f>G88</f>
        <v>6800000</v>
      </c>
      <c r="Y64" s="272"/>
      <c r="Z64" s="273"/>
      <c r="AA64" s="272"/>
      <c r="AB64" s="272"/>
      <c r="AC64" s="272"/>
      <c r="AD64" s="272"/>
      <c r="AE64" s="272"/>
      <c r="AF64" s="274"/>
    </row>
    <row r="65" spans="2:32" x14ac:dyDescent="0.2">
      <c r="C65" s="4" t="s">
        <v>219</v>
      </c>
      <c r="G65" s="210">
        <v>144910</v>
      </c>
      <c r="H65" s="229">
        <f t="shared" si="122"/>
        <v>357.80246913580248</v>
      </c>
      <c r="I65" s="2">
        <v>18000</v>
      </c>
      <c r="J65" s="229">
        <f t="shared" si="123"/>
        <v>44.444444444444443</v>
      </c>
      <c r="K65" s="2">
        <f t="shared" si="124"/>
        <v>18540</v>
      </c>
      <c r="L65" s="2"/>
      <c r="M65" s="210">
        <f t="shared" si="125"/>
        <v>19096.2</v>
      </c>
      <c r="N65" s="2">
        <f t="shared" si="126"/>
        <v>19669.086000000003</v>
      </c>
      <c r="O65" s="2">
        <f t="shared" si="126"/>
        <v>20259.158580000003</v>
      </c>
      <c r="P65" s="2">
        <f t="shared" si="126"/>
        <v>20866.933337400005</v>
      </c>
      <c r="Q65" s="2">
        <f t="shared" si="126"/>
        <v>21492.941337522007</v>
      </c>
      <c r="R65" s="2">
        <f t="shared" si="126"/>
        <v>22137.729577647668</v>
      </c>
      <c r="S65" s="2">
        <f t="shared" si="126"/>
        <v>22801.861464977097</v>
      </c>
      <c r="T65" s="2">
        <f t="shared" si="126"/>
        <v>23485.917308926411</v>
      </c>
      <c r="W65" s="275" t="s">
        <v>181</v>
      </c>
      <c r="X65" s="276">
        <f>G21</f>
        <v>405</v>
      </c>
      <c r="Y65" s="277"/>
      <c r="Z65" s="268"/>
      <c r="AA65" s="269"/>
      <c r="AB65" s="269"/>
      <c r="AC65" s="269"/>
      <c r="AD65" s="269"/>
      <c r="AE65" s="269"/>
      <c r="AF65" s="278"/>
    </row>
    <row r="66" spans="2:32" x14ac:dyDescent="0.2">
      <c r="C66" s="4" t="s">
        <v>119</v>
      </c>
      <c r="G66" s="210">
        <v>0</v>
      </c>
      <c r="H66" s="229">
        <f t="shared" ref="H66" si="127">G66/$I$21</f>
        <v>0</v>
      </c>
      <c r="I66" s="2">
        <f t="shared" ref="I66:I76" si="128">G66</f>
        <v>0</v>
      </c>
      <c r="J66" s="229">
        <f t="shared" ref="J66" si="129">I66/$I$21</f>
        <v>0</v>
      </c>
      <c r="K66" s="2">
        <f t="shared" ref="K66" si="130">I66*1.03</f>
        <v>0</v>
      </c>
      <c r="L66" s="2"/>
      <c r="M66" s="210">
        <f t="shared" ref="M66" si="131">K66*1.03</f>
        <v>0</v>
      </c>
      <c r="N66" s="2">
        <f t="shared" ref="N66" si="132">M66*1.03</f>
        <v>0</v>
      </c>
      <c r="O66" s="2">
        <f t="shared" ref="O66" si="133">N66*1.03</f>
        <v>0</v>
      </c>
      <c r="P66" s="2">
        <f t="shared" ref="P66" si="134">O66*1.03</f>
        <v>0</v>
      </c>
      <c r="Q66" s="2">
        <f t="shared" ref="Q66" si="135">P66*1.03</f>
        <v>0</v>
      </c>
      <c r="R66" s="2">
        <f t="shared" ref="R66" si="136">Q66*1.03</f>
        <v>0</v>
      </c>
      <c r="S66" s="2">
        <f t="shared" ref="S66" si="137">R66*1.03</f>
        <v>0</v>
      </c>
      <c r="T66" s="2">
        <f t="shared" ref="T66" si="138">S66*1.03</f>
        <v>0</v>
      </c>
      <c r="W66" s="275" t="s">
        <v>181</v>
      </c>
      <c r="X66" s="276">
        <f>G22</f>
        <v>0</v>
      </c>
      <c r="Y66" s="277"/>
      <c r="Z66" s="268"/>
      <c r="AA66" s="269"/>
      <c r="AB66" s="269"/>
      <c r="AC66" s="269"/>
      <c r="AD66" s="269"/>
      <c r="AE66" s="269"/>
      <c r="AF66" s="278"/>
    </row>
    <row r="67" spans="2:32" x14ac:dyDescent="0.2">
      <c r="C67" s="4" t="s">
        <v>101</v>
      </c>
      <c r="G67" s="210">
        <v>753912</v>
      </c>
      <c r="H67" s="229">
        <f t="shared" si="122"/>
        <v>1861.5111111111112</v>
      </c>
      <c r="I67" s="2">
        <v>150000</v>
      </c>
      <c r="J67" s="229">
        <f t="shared" si="123"/>
        <v>370.37037037037038</v>
      </c>
      <c r="K67" s="2">
        <f t="shared" si="124"/>
        <v>154500</v>
      </c>
      <c r="L67" s="2"/>
      <c r="M67" s="210">
        <f t="shared" si="125"/>
        <v>159135</v>
      </c>
      <c r="N67" s="2">
        <f t="shared" si="126"/>
        <v>163909.05000000002</v>
      </c>
      <c r="O67" s="2">
        <f t="shared" si="126"/>
        <v>168826.32150000002</v>
      </c>
      <c r="P67" s="2">
        <f t="shared" si="126"/>
        <v>173891.11114500003</v>
      </c>
      <c r="Q67" s="2">
        <f t="shared" si="126"/>
        <v>179107.84447935002</v>
      </c>
      <c r="R67" s="2">
        <f t="shared" si="126"/>
        <v>184481.07981373052</v>
      </c>
      <c r="S67" s="2">
        <f t="shared" si="126"/>
        <v>190015.51220814243</v>
      </c>
      <c r="T67" s="2">
        <f t="shared" si="126"/>
        <v>195715.97757438672</v>
      </c>
      <c r="W67" s="275" t="s">
        <v>182</v>
      </c>
      <c r="X67" s="279">
        <v>485539</v>
      </c>
      <c r="Y67" s="280"/>
      <c r="Z67" s="269"/>
      <c r="AA67" s="269"/>
      <c r="AB67" s="269"/>
      <c r="AC67" s="269"/>
      <c r="AD67" s="269"/>
      <c r="AE67" s="269"/>
      <c r="AF67" s="278"/>
    </row>
    <row r="68" spans="2:32" x14ac:dyDescent="0.2">
      <c r="C68" s="4" t="s">
        <v>5</v>
      </c>
      <c r="G68" s="210">
        <v>197000</v>
      </c>
      <c r="H68" s="229">
        <f t="shared" si="122"/>
        <v>486.41975308641975</v>
      </c>
      <c r="I68" s="2">
        <v>32500</v>
      </c>
      <c r="J68" s="229">
        <f t="shared" si="123"/>
        <v>80.246913580246911</v>
      </c>
      <c r="K68" s="2">
        <f t="shared" si="124"/>
        <v>33475</v>
      </c>
      <c r="L68" s="2"/>
      <c r="M68" s="210">
        <f t="shared" si="125"/>
        <v>34479.25</v>
      </c>
      <c r="N68" s="2">
        <f t="shared" si="126"/>
        <v>35513.627500000002</v>
      </c>
      <c r="O68" s="2">
        <f t="shared" si="126"/>
        <v>36579.036325000001</v>
      </c>
      <c r="P68" s="2">
        <f t="shared" si="126"/>
        <v>37676.40741475</v>
      </c>
      <c r="Q68" s="2">
        <f t="shared" si="126"/>
        <v>38806.699637192498</v>
      </c>
      <c r="R68" s="2">
        <f t="shared" si="126"/>
        <v>39970.900626308277</v>
      </c>
      <c r="S68" s="2">
        <f t="shared" si="126"/>
        <v>41170.027645097529</v>
      </c>
      <c r="T68" s="2">
        <f t="shared" si="126"/>
        <v>42405.128474450459</v>
      </c>
      <c r="W68" s="281"/>
      <c r="X68" s="282"/>
      <c r="Y68" s="283"/>
      <c r="Z68" s="284"/>
      <c r="AA68" s="284"/>
      <c r="AB68" s="284"/>
      <c r="AC68" s="284"/>
      <c r="AD68" s="284"/>
      <c r="AE68" s="284"/>
      <c r="AF68" s="285"/>
    </row>
    <row r="69" spans="2:32" ht="15" x14ac:dyDescent="0.2">
      <c r="C69" s="4" t="s">
        <v>165</v>
      </c>
      <c r="G69" s="210">
        <v>93770</v>
      </c>
      <c r="H69" s="229">
        <f t="shared" si="122"/>
        <v>231.53086419753086</v>
      </c>
      <c r="I69" s="2">
        <v>25000</v>
      </c>
      <c r="J69" s="229">
        <f t="shared" si="123"/>
        <v>61.728395061728392</v>
      </c>
      <c r="K69" s="2">
        <f t="shared" si="124"/>
        <v>25750</v>
      </c>
      <c r="L69" s="2"/>
      <c r="M69" s="210">
        <f t="shared" si="125"/>
        <v>26522.5</v>
      </c>
      <c r="N69" s="2">
        <f t="shared" si="126"/>
        <v>27318.174999999999</v>
      </c>
      <c r="O69" s="2">
        <f t="shared" si="126"/>
        <v>28137.720249999998</v>
      </c>
      <c r="P69" s="2">
        <f t="shared" si="126"/>
        <v>28981.851857499998</v>
      </c>
      <c r="Q69" s="2">
        <f t="shared" si="126"/>
        <v>29851.307413225</v>
      </c>
      <c r="R69" s="2">
        <f t="shared" si="126"/>
        <v>30746.84663562175</v>
      </c>
      <c r="S69" s="2">
        <f t="shared" si="126"/>
        <v>31669.252034690402</v>
      </c>
      <c r="T69" s="2">
        <f t="shared" si="126"/>
        <v>32619.329595731117</v>
      </c>
      <c r="W69" s="286"/>
      <c r="X69" s="342" t="s">
        <v>183</v>
      </c>
      <c r="Y69" s="343"/>
      <c r="Z69" s="344"/>
      <c r="AA69" s="345" t="s">
        <v>184</v>
      </c>
      <c r="AB69" s="343"/>
      <c r="AC69" s="345" t="s">
        <v>185</v>
      </c>
      <c r="AD69" s="343"/>
      <c r="AE69" s="337" t="s">
        <v>186</v>
      </c>
      <c r="AF69" s="338"/>
    </row>
    <row r="70" spans="2:32" x14ac:dyDescent="0.2">
      <c r="C70" s="4" t="s">
        <v>103</v>
      </c>
      <c r="G70" s="210">
        <v>0</v>
      </c>
      <c r="H70" s="229">
        <f t="shared" si="122"/>
        <v>0</v>
      </c>
      <c r="I70" s="2">
        <f t="shared" si="128"/>
        <v>0</v>
      </c>
      <c r="J70" s="229">
        <f t="shared" si="123"/>
        <v>0</v>
      </c>
      <c r="K70" s="2">
        <f t="shared" si="124"/>
        <v>0</v>
      </c>
      <c r="L70" s="2"/>
      <c r="M70" s="210">
        <f t="shared" si="125"/>
        <v>0</v>
      </c>
      <c r="N70" s="2">
        <f t="shared" si="126"/>
        <v>0</v>
      </c>
      <c r="O70" s="2">
        <f t="shared" si="126"/>
        <v>0</v>
      </c>
      <c r="P70" s="2">
        <f t="shared" si="126"/>
        <v>0</v>
      </c>
      <c r="Q70" s="2">
        <f t="shared" si="126"/>
        <v>0</v>
      </c>
      <c r="R70" s="2">
        <f t="shared" si="126"/>
        <v>0</v>
      </c>
      <c r="S70" s="2">
        <f t="shared" si="126"/>
        <v>0</v>
      </c>
      <c r="T70" s="2">
        <f t="shared" si="126"/>
        <v>0</v>
      </c>
      <c r="W70" s="287"/>
      <c r="X70" s="288"/>
      <c r="Y70" s="339" t="s">
        <v>187</v>
      </c>
      <c r="Z70" s="339"/>
      <c r="AA70" s="289"/>
      <c r="AB70" s="290"/>
      <c r="AC70" s="291" t="s">
        <v>188</v>
      </c>
      <c r="AD70" s="291" t="s">
        <v>189</v>
      </c>
      <c r="AE70" s="292"/>
      <c r="AF70" s="293"/>
    </row>
    <row r="71" spans="2:32" x14ac:dyDescent="0.2">
      <c r="C71" s="4" t="s">
        <v>104</v>
      </c>
      <c r="G71" s="326">
        <v>0</v>
      </c>
      <c r="H71" s="229">
        <f t="shared" si="122"/>
        <v>0</v>
      </c>
      <c r="I71" s="2">
        <f t="shared" si="128"/>
        <v>0</v>
      </c>
      <c r="J71" s="229">
        <f t="shared" si="123"/>
        <v>0</v>
      </c>
      <c r="K71" s="2">
        <f t="shared" si="124"/>
        <v>0</v>
      </c>
      <c r="L71" s="2"/>
      <c r="M71" s="210">
        <f t="shared" si="125"/>
        <v>0</v>
      </c>
      <c r="N71" s="2">
        <f t="shared" si="126"/>
        <v>0</v>
      </c>
      <c r="O71" s="2">
        <f t="shared" si="126"/>
        <v>0</v>
      </c>
      <c r="P71" s="2">
        <f t="shared" si="126"/>
        <v>0</v>
      </c>
      <c r="Q71" s="2">
        <f t="shared" si="126"/>
        <v>0</v>
      </c>
      <c r="R71" s="2">
        <f t="shared" si="126"/>
        <v>0</v>
      </c>
      <c r="S71" s="2">
        <f t="shared" si="126"/>
        <v>0</v>
      </c>
      <c r="T71" s="2">
        <f t="shared" si="126"/>
        <v>0</v>
      </c>
      <c r="W71" s="294" t="s">
        <v>190</v>
      </c>
      <c r="X71" s="295" t="s">
        <v>191</v>
      </c>
      <c r="Y71" s="296" t="s">
        <v>131</v>
      </c>
      <c r="Z71" s="296" t="s">
        <v>192</v>
      </c>
      <c r="AA71" s="296" t="s">
        <v>192</v>
      </c>
      <c r="AB71" s="296" t="s">
        <v>131</v>
      </c>
      <c r="AC71" s="296" t="s">
        <v>192</v>
      </c>
      <c r="AD71" s="297" t="s">
        <v>192</v>
      </c>
      <c r="AE71" s="298" t="s">
        <v>187</v>
      </c>
      <c r="AF71" s="299" t="s">
        <v>191</v>
      </c>
    </row>
    <row r="72" spans="2:32" x14ac:dyDescent="0.2">
      <c r="C72" s="4" t="s">
        <v>7</v>
      </c>
      <c r="G72" s="210">
        <v>777425</v>
      </c>
      <c r="H72" s="229">
        <f t="shared" si="122"/>
        <v>1919.5679012345679</v>
      </c>
      <c r="I72" s="2">
        <v>70000</v>
      </c>
      <c r="J72" s="229">
        <f t="shared" si="123"/>
        <v>172.83950617283949</v>
      </c>
      <c r="K72" s="2">
        <f t="shared" si="124"/>
        <v>72100</v>
      </c>
      <c r="L72" s="2"/>
      <c r="M72" s="210">
        <f t="shared" si="125"/>
        <v>74263</v>
      </c>
      <c r="N72" s="2">
        <f t="shared" si="126"/>
        <v>76490.89</v>
      </c>
      <c r="O72" s="2">
        <f t="shared" si="126"/>
        <v>78785.616699999999</v>
      </c>
      <c r="P72" s="2">
        <f t="shared" si="126"/>
        <v>81149.185201</v>
      </c>
      <c r="Q72" s="2">
        <f t="shared" si="126"/>
        <v>83583.660757029997</v>
      </c>
      <c r="R72" s="2">
        <f t="shared" si="126"/>
        <v>86091.170579740894</v>
      </c>
      <c r="S72" s="2">
        <f t="shared" si="126"/>
        <v>88673.90569713313</v>
      </c>
      <c r="T72" s="2">
        <f t="shared" si="126"/>
        <v>91334.122868047125</v>
      </c>
      <c r="W72" s="300" t="s">
        <v>193</v>
      </c>
      <c r="X72" s="301" t="s">
        <v>194</v>
      </c>
      <c r="Y72" s="302">
        <f>0.01*X64</f>
        <v>68000</v>
      </c>
      <c r="Z72" s="324">
        <f>Y72/$X$65</f>
        <v>167.90123456790124</v>
      </c>
      <c r="AA72" s="303"/>
      <c r="AB72" s="304"/>
      <c r="AC72" s="290"/>
      <c r="AD72" s="305"/>
      <c r="AE72" s="306">
        <f t="shared" ref="AE72:AE81" si="139">Y72</f>
        <v>68000</v>
      </c>
      <c r="AF72" s="307"/>
    </row>
    <row r="73" spans="2:32" x14ac:dyDescent="0.2">
      <c r="C73" s="4" t="s">
        <v>236</v>
      </c>
      <c r="G73" s="210"/>
      <c r="H73" s="229">
        <f t="shared" si="122"/>
        <v>0</v>
      </c>
      <c r="I73" s="2">
        <v>15000</v>
      </c>
      <c r="J73" s="229">
        <f t="shared" si="123"/>
        <v>37.037037037037038</v>
      </c>
      <c r="K73" s="2">
        <f t="shared" si="124"/>
        <v>15450</v>
      </c>
      <c r="L73" s="2"/>
      <c r="M73" s="210">
        <f t="shared" si="125"/>
        <v>15913.5</v>
      </c>
      <c r="N73" s="2">
        <f t="shared" si="126"/>
        <v>16390.904999999999</v>
      </c>
      <c r="O73" s="2">
        <f t="shared" si="126"/>
        <v>16882.632149999998</v>
      </c>
      <c r="P73" s="2">
        <f t="shared" si="126"/>
        <v>17389.1111145</v>
      </c>
      <c r="Q73" s="2">
        <f t="shared" si="126"/>
        <v>17910.784447934999</v>
      </c>
      <c r="R73" s="2">
        <f t="shared" si="126"/>
        <v>18448.10798137305</v>
      </c>
      <c r="S73" s="2">
        <f t="shared" si="126"/>
        <v>19001.551220814243</v>
      </c>
      <c r="T73" s="2">
        <f t="shared" si="126"/>
        <v>19571.597757438671</v>
      </c>
      <c r="W73" s="300" t="s">
        <v>5</v>
      </c>
      <c r="X73" s="308" t="s">
        <v>195</v>
      </c>
      <c r="Y73" s="302">
        <f>0.007*X64</f>
        <v>47600</v>
      </c>
      <c r="Z73" s="324">
        <f>Y73/$X$65</f>
        <v>117.53086419753086</v>
      </c>
      <c r="AA73" s="302">
        <v>450</v>
      </c>
      <c r="AB73" s="304">
        <f>AA73*$AE$31</f>
        <v>0</v>
      </c>
      <c r="AC73" s="309">
        <v>267</v>
      </c>
      <c r="AD73" s="310">
        <v>332</v>
      </c>
      <c r="AE73" s="306">
        <f t="shared" si="139"/>
        <v>47600</v>
      </c>
      <c r="AF73" s="307"/>
    </row>
    <row r="74" spans="2:32" x14ac:dyDescent="0.2">
      <c r="C74" s="4" t="s">
        <v>152</v>
      </c>
      <c r="G74" s="210">
        <v>0</v>
      </c>
      <c r="H74" s="229">
        <f t="shared" si="122"/>
        <v>0</v>
      </c>
      <c r="I74" s="2">
        <f t="shared" si="128"/>
        <v>0</v>
      </c>
      <c r="J74" s="229">
        <f t="shared" si="123"/>
        <v>0</v>
      </c>
      <c r="K74" s="2">
        <f t="shared" si="124"/>
        <v>0</v>
      </c>
      <c r="L74" s="2"/>
      <c r="M74" s="210">
        <f t="shared" si="125"/>
        <v>0</v>
      </c>
      <c r="N74" s="2">
        <f t="shared" si="126"/>
        <v>0</v>
      </c>
      <c r="O74" s="2">
        <f t="shared" si="126"/>
        <v>0</v>
      </c>
      <c r="P74" s="2">
        <f t="shared" si="126"/>
        <v>0</v>
      </c>
      <c r="Q74" s="2">
        <f t="shared" si="126"/>
        <v>0</v>
      </c>
      <c r="R74" s="2">
        <f t="shared" si="126"/>
        <v>0</v>
      </c>
      <c r="S74" s="2">
        <f t="shared" si="126"/>
        <v>0</v>
      </c>
      <c r="T74" s="2">
        <f t="shared" si="126"/>
        <v>0</v>
      </c>
      <c r="W74" s="300" t="s">
        <v>165</v>
      </c>
      <c r="X74" s="311" t="s">
        <v>196</v>
      </c>
      <c r="Y74" s="303">
        <f>X65*Z74</f>
        <v>81000</v>
      </c>
      <c r="Z74" s="302">
        <v>200</v>
      </c>
      <c r="AA74" s="302"/>
      <c r="AB74" s="304"/>
      <c r="AC74" s="290"/>
      <c r="AD74" s="305"/>
      <c r="AE74" s="306">
        <f>Y74</f>
        <v>81000</v>
      </c>
      <c r="AF74" s="307"/>
    </row>
    <row r="75" spans="2:32" x14ac:dyDescent="0.2">
      <c r="C75" s="4" t="s">
        <v>4</v>
      </c>
      <c r="G75" s="210">
        <v>289872</v>
      </c>
      <c r="H75" s="229">
        <f t="shared" si="122"/>
        <v>715.73333333333335</v>
      </c>
      <c r="I75" s="2">
        <v>105000</v>
      </c>
      <c r="J75" s="229">
        <f t="shared" si="123"/>
        <v>259.25925925925924</v>
      </c>
      <c r="K75" s="2">
        <v>105000</v>
      </c>
      <c r="L75" s="2"/>
      <c r="M75" s="210">
        <f t="shared" si="125"/>
        <v>108150</v>
      </c>
      <c r="N75" s="2">
        <f t="shared" ref="N75:T75" si="140">M75*1.01</f>
        <v>109231.5</v>
      </c>
      <c r="O75" s="2">
        <f t="shared" si="140"/>
        <v>110323.815</v>
      </c>
      <c r="P75" s="2">
        <f t="shared" si="140"/>
        <v>111427.05315000001</v>
      </c>
      <c r="Q75" s="2">
        <f t="shared" si="140"/>
        <v>112541.32368150001</v>
      </c>
      <c r="R75" s="2">
        <f t="shared" si="140"/>
        <v>113666.73691831501</v>
      </c>
      <c r="S75" s="2">
        <f t="shared" si="140"/>
        <v>114803.40428749817</v>
      </c>
      <c r="T75" s="2">
        <f t="shared" si="140"/>
        <v>115951.43833037314</v>
      </c>
      <c r="W75" s="312" t="s">
        <v>104</v>
      </c>
      <c r="X75" s="301" t="s">
        <v>197</v>
      </c>
      <c r="Y75" s="303">
        <f>X65*Z75</f>
        <v>81000</v>
      </c>
      <c r="Z75" s="302">
        <v>200</v>
      </c>
      <c r="AA75" s="302">
        <v>125</v>
      </c>
      <c r="AB75" s="304">
        <f>AA75*$AE$31</f>
        <v>0</v>
      </c>
      <c r="AC75" s="309">
        <v>229</v>
      </c>
      <c r="AD75" s="310">
        <v>199</v>
      </c>
      <c r="AE75" s="306">
        <f>Y75</f>
        <v>81000</v>
      </c>
      <c r="AF75" s="307"/>
    </row>
    <row r="76" spans="2:32" x14ac:dyDescent="0.2">
      <c r="C76" s="4" t="s">
        <v>6</v>
      </c>
      <c r="G76" s="210">
        <v>1030903</v>
      </c>
      <c r="H76" s="229">
        <f t="shared" si="122"/>
        <v>2545.4395061728396</v>
      </c>
      <c r="I76" s="2">
        <f t="shared" si="128"/>
        <v>1030903</v>
      </c>
      <c r="J76" s="229">
        <f t="shared" si="123"/>
        <v>2545.4395061728396</v>
      </c>
      <c r="K76" s="2">
        <f t="shared" si="124"/>
        <v>1061830.0900000001</v>
      </c>
      <c r="L76" s="2"/>
      <c r="M76" s="210">
        <f t="shared" si="125"/>
        <v>1093684.9927000001</v>
      </c>
      <c r="N76" s="2">
        <f t="shared" ref="N76:T76" si="141">M76*1.03</f>
        <v>1126495.5424810001</v>
      </c>
      <c r="O76" s="2">
        <f t="shared" si="141"/>
        <v>1160290.40875543</v>
      </c>
      <c r="P76" s="2">
        <f t="shared" si="141"/>
        <v>1195099.1210180928</v>
      </c>
      <c r="Q76" s="2">
        <f t="shared" si="141"/>
        <v>1230952.0946486357</v>
      </c>
      <c r="R76" s="2">
        <f t="shared" si="141"/>
        <v>1267880.6574880949</v>
      </c>
      <c r="S76" s="2">
        <f t="shared" si="141"/>
        <v>1305917.0772127376</v>
      </c>
      <c r="T76" s="2">
        <f t="shared" si="141"/>
        <v>1345094.5895291199</v>
      </c>
      <c r="W76" s="312" t="s">
        <v>198</v>
      </c>
      <c r="X76" s="301" t="s">
        <v>199</v>
      </c>
      <c r="Y76" s="303">
        <f>X65*Z76*12</f>
        <v>486000</v>
      </c>
      <c r="Z76" s="302">
        <v>100</v>
      </c>
      <c r="AA76" s="302"/>
      <c r="AB76" s="304"/>
      <c r="AC76" s="309">
        <v>100</v>
      </c>
      <c r="AD76" s="310">
        <v>111</v>
      </c>
      <c r="AE76" s="306">
        <f>Y76</f>
        <v>486000</v>
      </c>
      <c r="AF76" s="307"/>
    </row>
    <row r="77" spans="2:32" x14ac:dyDescent="0.2">
      <c r="C77" s="1" t="s">
        <v>164</v>
      </c>
      <c r="E77" s="188">
        <v>0.04</v>
      </c>
      <c r="G77" s="210">
        <v>176674</v>
      </c>
      <c r="H77" s="229">
        <f t="shared" si="122"/>
        <v>436.23209876543211</v>
      </c>
      <c r="I77" s="2">
        <f>I59*E77</f>
        <v>149515.0356</v>
      </c>
      <c r="J77" s="229">
        <f t="shared" si="123"/>
        <v>369.17292740740743</v>
      </c>
      <c r="K77" s="2">
        <f t="shared" si="124"/>
        <v>154000.486668</v>
      </c>
      <c r="L77" s="2"/>
      <c r="M77" s="210">
        <f t="shared" si="125"/>
        <v>158620.50126804001</v>
      </c>
      <c r="N77" s="2">
        <f t="shared" ref="N77:T77" si="142">$E$77*N59</f>
        <v>189828.17826192122</v>
      </c>
      <c r="O77" s="2">
        <f t="shared" si="142"/>
        <v>195523.02360977887</v>
      </c>
      <c r="P77" s="2">
        <f t="shared" si="142"/>
        <v>201388.71431807225</v>
      </c>
      <c r="Q77" s="2">
        <f t="shared" si="142"/>
        <v>207430.37574761442</v>
      </c>
      <c r="R77" s="2">
        <f t="shared" si="142"/>
        <v>213653.28702004283</v>
      </c>
      <c r="S77" s="2">
        <f t="shared" si="142"/>
        <v>220062.88563064416</v>
      </c>
      <c r="T77" s="2">
        <f t="shared" si="142"/>
        <v>226664.77219956345</v>
      </c>
      <c r="W77" s="312" t="s">
        <v>200</v>
      </c>
      <c r="X77" s="301" t="s">
        <v>201</v>
      </c>
      <c r="Y77" s="302"/>
      <c r="Z77" s="303"/>
      <c r="AA77" s="302"/>
      <c r="AB77" s="304"/>
      <c r="AC77" s="309"/>
      <c r="AD77" s="310"/>
      <c r="AE77" s="306">
        <f>Y77</f>
        <v>0</v>
      </c>
      <c r="AF77" s="307"/>
    </row>
    <row r="78" spans="2:32" x14ac:dyDescent="0.2">
      <c r="E78" s="2"/>
      <c r="G78" s="210"/>
      <c r="H78" s="211"/>
      <c r="I78" s="2"/>
      <c r="J78" s="211"/>
      <c r="K78" s="2"/>
      <c r="L78" s="2"/>
      <c r="M78" s="210"/>
      <c r="N78" s="2"/>
      <c r="W78" s="312" t="s">
        <v>202</v>
      </c>
      <c r="X78" s="308" t="s">
        <v>203</v>
      </c>
      <c r="Y78" s="303">
        <f>X65*Z78</f>
        <v>162000</v>
      </c>
      <c r="Z78" s="302">
        <v>400</v>
      </c>
      <c r="AA78" s="302">
        <v>500</v>
      </c>
      <c r="AB78" s="304">
        <f>AA78*$AE$31</f>
        <v>0</v>
      </c>
      <c r="AC78" s="309">
        <v>500</v>
      </c>
      <c r="AD78" s="310">
        <v>607</v>
      </c>
      <c r="AE78" s="306">
        <f t="shared" si="139"/>
        <v>162000</v>
      </c>
      <c r="AF78" s="307"/>
    </row>
    <row r="79" spans="2:32" ht="15" x14ac:dyDescent="0.25">
      <c r="B79" s="16" t="s">
        <v>8</v>
      </c>
      <c r="C79" s="23"/>
      <c r="D79" s="23"/>
      <c r="E79" s="23"/>
      <c r="F79" s="23"/>
      <c r="G79" s="226">
        <f>SUM(G62:G78)</f>
        <v>3486802</v>
      </c>
      <c r="H79" s="327">
        <f>G79/G21</f>
        <v>8609.3876543209881</v>
      </c>
      <c r="I79" s="19">
        <f>SUM(I62:I78)</f>
        <v>1655918.0356000001</v>
      </c>
      <c r="J79" s="227"/>
      <c r="K79" s="226">
        <f>SUM(K62:K78)</f>
        <v>1702445.5766680001</v>
      </c>
      <c r="L79" s="19"/>
      <c r="M79" s="226">
        <f t="shared" ref="M79:T79" si="143">SUM(M62:M78)</f>
        <v>1753518.9439680399</v>
      </c>
      <c r="N79" s="19">
        <f t="shared" si="143"/>
        <v>1830410.5742429213</v>
      </c>
      <c r="O79" s="19">
        <f t="shared" si="143"/>
        <v>1883138.2614702089</v>
      </c>
      <c r="P79" s="19">
        <f t="shared" si="143"/>
        <v>1937425.9330143151</v>
      </c>
      <c r="Q79" s="19">
        <f t="shared" si="143"/>
        <v>1993320.1699417448</v>
      </c>
      <c r="R79" s="19">
        <f t="shared" si="143"/>
        <v>2050868.9485663672</v>
      </c>
      <c r="S79" s="19">
        <f t="shared" si="143"/>
        <v>2110121.6822849922</v>
      </c>
      <c r="T79" s="19">
        <f t="shared" si="143"/>
        <v>2171129.2646677913</v>
      </c>
      <c r="W79" s="300" t="s">
        <v>204</v>
      </c>
      <c r="X79" s="313" t="s">
        <v>205</v>
      </c>
      <c r="Y79" s="309">
        <f>150*X65</f>
        <v>60750</v>
      </c>
      <c r="Z79" s="324">
        <f>Y79/$X$65</f>
        <v>150</v>
      </c>
      <c r="AA79" s="302">
        <v>150</v>
      </c>
      <c r="AB79" s="304">
        <f>AA79*$AE$31</f>
        <v>0</v>
      </c>
      <c r="AC79" s="314"/>
      <c r="AD79" s="305"/>
      <c r="AE79" s="306">
        <f>Y79</f>
        <v>60750</v>
      </c>
      <c r="AF79" s="307"/>
    </row>
    <row r="80" spans="2:32" x14ac:dyDescent="0.2">
      <c r="C80" s="1" t="s">
        <v>9</v>
      </c>
      <c r="G80" s="220">
        <f>G79/G59</f>
        <v>0.90898699946203887</v>
      </c>
      <c r="H80" s="221"/>
      <c r="I80" s="3">
        <f>I79/I59</f>
        <v>0.44301043810205265</v>
      </c>
      <c r="J80" s="221"/>
      <c r="K80" s="3">
        <f>K79/K59</f>
        <v>0.40871038528182085</v>
      </c>
      <c r="L80" s="3"/>
      <c r="M80" s="220">
        <f t="shared" ref="M80:T80" si="144">M79/M59</f>
        <v>0.38435998850562941</v>
      </c>
      <c r="N80" s="3">
        <f t="shared" si="144"/>
        <v>0.38569839125092514</v>
      </c>
      <c r="O80" s="3">
        <f t="shared" si="144"/>
        <v>0.38525146076475175</v>
      </c>
      <c r="P80" s="3">
        <f t="shared" si="144"/>
        <v>0.38481320854044582</v>
      </c>
      <c r="Q80" s="3">
        <f t="shared" si="144"/>
        <v>0.38438346606806822</v>
      </c>
      <c r="R80" s="3">
        <f t="shared" si="144"/>
        <v>0.38396206810971739</v>
      </c>
      <c r="S80" s="3">
        <f t="shared" si="144"/>
        <v>0.3835488526359947</v>
      </c>
      <c r="T80" s="3">
        <f t="shared" si="144"/>
        <v>0.38314366076370343</v>
      </c>
      <c r="W80" s="300" t="s">
        <v>206</v>
      </c>
      <c r="X80" s="308" t="s">
        <v>207</v>
      </c>
      <c r="Y80" s="302"/>
      <c r="Z80" s="303"/>
      <c r="AA80" s="302">
        <v>0.06</v>
      </c>
      <c r="AB80" s="304"/>
      <c r="AC80" s="290"/>
      <c r="AD80" s="305"/>
      <c r="AE80" s="306">
        <f t="shared" si="139"/>
        <v>0</v>
      </c>
      <c r="AF80" s="307"/>
    </row>
    <row r="81" spans="1:32" x14ac:dyDescent="0.2">
      <c r="G81" s="210"/>
      <c r="H81" s="211"/>
      <c r="I81" s="2"/>
      <c r="J81" s="211"/>
      <c r="K81" s="2"/>
      <c r="L81" s="2"/>
      <c r="M81" s="210"/>
      <c r="N81" s="2"/>
      <c r="W81" s="300" t="s">
        <v>208</v>
      </c>
      <c r="X81" s="313" t="s">
        <v>209</v>
      </c>
      <c r="Y81" s="302">
        <f>0.1*X67</f>
        <v>48553.9</v>
      </c>
      <c r="Z81" s="303"/>
      <c r="AA81" s="302">
        <v>1000</v>
      </c>
      <c r="AB81" s="304">
        <f>AA81*$AE$31</f>
        <v>0</v>
      </c>
      <c r="AC81" s="290"/>
      <c r="AD81" s="305"/>
      <c r="AE81" s="306">
        <f t="shared" si="139"/>
        <v>48553.9</v>
      </c>
      <c r="AF81" s="307"/>
    </row>
    <row r="82" spans="1:32" x14ac:dyDescent="0.2">
      <c r="B82" s="16" t="s">
        <v>10</v>
      </c>
      <c r="C82" s="16"/>
      <c r="D82" s="16"/>
      <c r="E82" s="16"/>
      <c r="F82" s="16"/>
      <c r="G82" s="230">
        <f>G59-G79</f>
        <v>349118.64800000004</v>
      </c>
      <c r="H82" s="231"/>
      <c r="I82" s="242">
        <f>I59-I79</f>
        <v>2081957.8544000001</v>
      </c>
      <c r="J82" s="231"/>
      <c r="K82" s="19">
        <f>K59-K79</f>
        <v>2462962.5900320001</v>
      </c>
      <c r="L82" s="19"/>
      <c r="M82" s="226">
        <f t="shared" ref="M82:T82" si="145">M59-M79</f>
        <v>2808659.7333329599</v>
      </c>
      <c r="N82" s="19">
        <f t="shared" si="145"/>
        <v>2915293.8823051089</v>
      </c>
      <c r="O82" s="19">
        <f t="shared" si="145"/>
        <v>3004937.3287742632</v>
      </c>
      <c r="P82" s="19">
        <f t="shared" si="145"/>
        <v>3097291.9249374908</v>
      </c>
      <c r="Q82" s="19">
        <f t="shared" si="145"/>
        <v>3192439.2237486159</v>
      </c>
      <c r="R82" s="19">
        <f t="shared" si="145"/>
        <v>3290463.226934704</v>
      </c>
      <c r="S82" s="19">
        <f t="shared" si="145"/>
        <v>3391450.4584811116</v>
      </c>
      <c r="T82" s="19">
        <f t="shared" si="145"/>
        <v>3495490.0403212951</v>
      </c>
      <c r="W82" s="300" t="s">
        <v>210</v>
      </c>
      <c r="X82" s="313" t="s">
        <v>211</v>
      </c>
      <c r="Y82" s="309"/>
      <c r="Z82" s="303"/>
      <c r="AA82" s="302"/>
      <c r="AB82" s="304"/>
      <c r="AC82" s="314"/>
      <c r="AD82" s="305"/>
      <c r="AE82" s="306">
        <v>1700</v>
      </c>
      <c r="AF82" s="307"/>
    </row>
    <row r="83" spans="1:32" x14ac:dyDescent="0.2">
      <c r="G83" s="2"/>
      <c r="H83" s="2"/>
      <c r="I83" s="2"/>
      <c r="J83" s="2"/>
      <c r="K83" s="2"/>
      <c r="L83" s="2"/>
      <c r="M83" s="2"/>
      <c r="N83" s="2"/>
      <c r="W83" s="300" t="s">
        <v>101</v>
      </c>
      <c r="X83" s="311"/>
      <c r="Y83" s="303"/>
      <c r="Z83" s="302"/>
      <c r="AA83" s="302"/>
      <c r="AB83" s="304"/>
      <c r="AC83" s="290"/>
      <c r="AD83" s="305"/>
      <c r="AE83" s="306">
        <f>Y83</f>
        <v>0</v>
      </c>
      <c r="AF83" s="307"/>
    </row>
    <row r="84" spans="1:32" x14ac:dyDescent="0.2">
      <c r="B84" s="12"/>
      <c r="C84" s="12" t="s">
        <v>23</v>
      </c>
      <c r="D84" s="12"/>
      <c r="E84" s="12"/>
      <c r="F84" s="12"/>
      <c r="G84" s="100">
        <v>6.5000000000000002E-2</v>
      </c>
      <c r="H84" s="100"/>
      <c r="I84" s="100">
        <v>6.5000000000000002E-2</v>
      </c>
      <c r="J84" s="100"/>
      <c r="K84" s="100">
        <v>6.5000000000000002E-2</v>
      </c>
      <c r="L84" s="100"/>
      <c r="M84" s="100">
        <v>6.5000000000000002E-2</v>
      </c>
      <c r="N84" s="100">
        <v>6.5000000000000002E-2</v>
      </c>
      <c r="O84" s="100">
        <v>6.5000000000000002E-2</v>
      </c>
      <c r="P84" s="100">
        <v>6.5000000000000002E-2</v>
      </c>
      <c r="Q84" s="100">
        <v>6.5000000000000002E-2</v>
      </c>
      <c r="R84" s="100">
        <v>6.5000000000000002E-2</v>
      </c>
      <c r="S84" s="100">
        <v>6.5000000000000002E-2</v>
      </c>
      <c r="T84" s="100">
        <v>0.06</v>
      </c>
      <c r="W84" s="300" t="s">
        <v>212</v>
      </c>
      <c r="X84" s="311"/>
      <c r="Y84" s="303"/>
      <c r="Z84" s="302"/>
      <c r="AA84" s="302"/>
      <c r="AB84" s="304"/>
      <c r="AC84" s="290"/>
      <c r="AD84" s="305"/>
      <c r="AE84" s="306">
        <f>Y84</f>
        <v>0</v>
      </c>
      <c r="AF84" s="307"/>
    </row>
    <row r="85" spans="1:32" ht="13.5" thickBot="1" x14ac:dyDescent="0.25">
      <c r="B85" s="12"/>
      <c r="C85" s="12" t="s">
        <v>24</v>
      </c>
      <c r="D85" s="12"/>
      <c r="E85" s="12"/>
      <c r="F85" s="12"/>
      <c r="G85" s="15">
        <f>IF(ISERROR(G82/G84),0,G82/G84)</f>
        <v>5371056.1230769232</v>
      </c>
      <c r="H85" s="15"/>
      <c r="I85" s="15">
        <f>IF(ISERROR(I82/I84),0,I82/I84)</f>
        <v>32030120.836923078</v>
      </c>
      <c r="J85" s="15"/>
      <c r="K85" s="15">
        <f>IF(ISERROR(K82/K84),0,K82/K84)</f>
        <v>37891732.154338464</v>
      </c>
      <c r="L85" s="15"/>
      <c r="M85" s="15">
        <f t="shared" ref="M85:T85" si="146">IF(ISERROR(M82/M84),0,M82/M84)</f>
        <v>43210149.743584</v>
      </c>
      <c r="N85" s="15">
        <f t="shared" si="146"/>
        <v>44850675.112386286</v>
      </c>
      <c r="O85" s="15">
        <f t="shared" si="146"/>
        <v>46229805.058065586</v>
      </c>
      <c r="P85" s="15">
        <f t="shared" si="146"/>
        <v>47650644.999038316</v>
      </c>
      <c r="Q85" s="15">
        <f t="shared" si="146"/>
        <v>49114449.596132554</v>
      </c>
      <c r="R85" s="15">
        <f t="shared" si="146"/>
        <v>50622511.183610827</v>
      </c>
      <c r="S85" s="15">
        <f t="shared" si="146"/>
        <v>52176160.899709404</v>
      </c>
      <c r="T85" s="15">
        <f t="shared" si="146"/>
        <v>58258167.338688254</v>
      </c>
      <c r="W85" s="315" t="s">
        <v>213</v>
      </c>
      <c r="X85" s="316" t="s">
        <v>214</v>
      </c>
      <c r="Y85" s="317">
        <f>X65*Z85</f>
        <v>101250</v>
      </c>
      <c r="Z85" s="318">
        <v>250</v>
      </c>
      <c r="AA85" s="318">
        <v>250</v>
      </c>
      <c r="AB85" s="319">
        <f>AA85*$AE$31</f>
        <v>0</v>
      </c>
      <c r="AC85" s="320"/>
      <c r="AD85" s="321"/>
      <c r="AE85" s="322">
        <f>Y85</f>
        <v>101250</v>
      </c>
      <c r="AF85" s="323"/>
    </row>
    <row r="86" spans="1:32" x14ac:dyDescent="0.2">
      <c r="B86" s="12"/>
      <c r="C86" s="12"/>
      <c r="D86" s="12"/>
      <c r="E86" s="12"/>
      <c r="F86" s="12"/>
      <c r="G86" s="15"/>
      <c r="H86" s="15"/>
      <c r="I86" s="15"/>
      <c r="J86" s="15"/>
      <c r="K86" s="15"/>
      <c r="L86" s="15"/>
      <c r="M86" s="15"/>
      <c r="N86" s="15"/>
      <c r="O86" s="12"/>
      <c r="P86" s="12"/>
      <c r="Q86" s="12"/>
      <c r="R86" s="12"/>
      <c r="S86" s="12"/>
      <c r="T86" s="12"/>
    </row>
    <row r="87" spans="1:32" x14ac:dyDescent="0.2">
      <c r="B87" s="12" t="s">
        <v>20</v>
      </c>
      <c r="C87" s="12"/>
      <c r="D87" s="12"/>
      <c r="E87" s="12"/>
      <c r="F87" s="12"/>
      <c r="G87" s="101">
        <v>7480000</v>
      </c>
      <c r="H87" s="15"/>
      <c r="I87" s="15"/>
      <c r="J87" s="15"/>
      <c r="K87" s="15"/>
      <c r="L87" s="15"/>
      <c r="M87" s="15"/>
      <c r="N87" s="15"/>
      <c r="O87" s="12"/>
      <c r="P87" s="12"/>
      <c r="Q87" s="12"/>
      <c r="R87" s="12"/>
      <c r="S87" s="12"/>
      <c r="T87" s="12"/>
    </row>
    <row r="88" spans="1:32" x14ac:dyDescent="0.2">
      <c r="B88" s="12" t="s">
        <v>19</v>
      </c>
      <c r="C88" s="12"/>
      <c r="D88" s="12"/>
      <c r="E88" s="12"/>
      <c r="F88" s="12"/>
      <c r="G88" s="101">
        <v>6800000</v>
      </c>
      <c r="H88" s="15"/>
      <c r="I88" s="15"/>
      <c r="J88" s="15"/>
      <c r="K88" s="15"/>
      <c r="L88" s="15"/>
      <c r="M88" s="15"/>
      <c r="N88" s="15"/>
      <c r="O88" s="12"/>
      <c r="P88" s="12"/>
      <c r="Q88" s="12"/>
      <c r="R88" s="12"/>
      <c r="S88" s="12"/>
      <c r="T88" s="12"/>
    </row>
    <row r="89" spans="1:32" x14ac:dyDescent="0.2">
      <c r="B89" s="12"/>
      <c r="C89" s="12" t="s">
        <v>25</v>
      </c>
      <c r="D89" s="12"/>
      <c r="E89" s="12"/>
      <c r="F89" s="12"/>
      <c r="G89" s="32">
        <f>G82/G88</f>
        <v>5.1340977647058833E-2</v>
      </c>
      <c r="H89" s="15"/>
      <c r="I89" s="336">
        <f>I82/G$109</f>
        <v>0.21653227814872594</v>
      </c>
      <c r="J89" s="196"/>
      <c r="K89" s="336">
        <f>K82/$G$109</f>
        <v>0.25615835569755591</v>
      </c>
      <c r="L89" s="336"/>
      <c r="M89" s="336">
        <f t="shared" ref="M89" si="147">M82/$G$109</f>
        <v>0.29211229675849815</v>
      </c>
      <c r="N89" s="15"/>
      <c r="O89" s="12"/>
      <c r="P89" s="12"/>
      <c r="Q89" s="12"/>
      <c r="R89" s="12"/>
      <c r="S89" s="12"/>
      <c r="T89" s="12"/>
    </row>
    <row r="90" spans="1:32" x14ac:dyDescent="0.2">
      <c r="B90" s="1" t="s">
        <v>234</v>
      </c>
      <c r="G90" s="328">
        <f>G88/G21</f>
        <v>16790.123456790123</v>
      </c>
      <c r="H90" s="2"/>
      <c r="I90" s="2"/>
      <c r="J90" s="2"/>
      <c r="K90" s="2"/>
      <c r="L90" s="2"/>
      <c r="M90" s="2"/>
      <c r="N90" s="2"/>
    </row>
    <row r="91" spans="1:32" x14ac:dyDescent="0.2">
      <c r="B91" s="20" t="s">
        <v>98</v>
      </c>
      <c r="C91" s="20"/>
      <c r="D91" s="20"/>
      <c r="E91" s="133">
        <f>IRR(G91:T91)</f>
        <v>0.45996308505089378</v>
      </c>
      <c r="F91" s="20"/>
      <c r="G91" s="132">
        <f>-G88</f>
        <v>-6800000</v>
      </c>
      <c r="H91" s="132"/>
      <c r="I91" s="132">
        <f>I82</f>
        <v>2081957.8544000001</v>
      </c>
      <c r="J91" s="132"/>
      <c r="K91" s="132">
        <f>K82</f>
        <v>2462962.5900320001</v>
      </c>
      <c r="L91" s="132"/>
      <c r="M91" s="132">
        <f t="shared" ref="M91:S91" si="148">M82</f>
        <v>2808659.7333329599</v>
      </c>
      <c r="N91" s="132">
        <f t="shared" si="148"/>
        <v>2915293.8823051089</v>
      </c>
      <c r="O91" s="132">
        <f t="shared" si="148"/>
        <v>3004937.3287742632</v>
      </c>
      <c r="P91" s="132">
        <f t="shared" si="148"/>
        <v>3097291.9249374908</v>
      </c>
      <c r="Q91" s="132">
        <f t="shared" si="148"/>
        <v>3192439.2237486159</v>
      </c>
      <c r="R91" s="132">
        <f t="shared" si="148"/>
        <v>3290463.226934704</v>
      </c>
      <c r="S91" s="132">
        <f t="shared" si="148"/>
        <v>3391450.4584811116</v>
      </c>
      <c r="T91" s="132">
        <f>T85+T82</f>
        <v>61753657.379009552</v>
      </c>
    </row>
    <row r="92" spans="1:32" ht="15" x14ac:dyDescent="0.2">
      <c r="A92" s="106"/>
      <c r="B92" s="106"/>
      <c r="C92" s="116"/>
      <c r="D92" s="117"/>
      <c r="E92" s="119"/>
      <c r="F92" s="116"/>
      <c r="G92" s="118"/>
      <c r="H92" s="118"/>
      <c r="I92" s="118"/>
      <c r="J92" s="118"/>
      <c r="K92" s="118"/>
      <c r="L92" s="118"/>
      <c r="M92" s="118"/>
      <c r="N92" s="106"/>
      <c r="O92" s="106"/>
      <c r="P92" s="106"/>
      <c r="Q92" s="106"/>
    </row>
    <row r="93" spans="1:32" x14ac:dyDescent="0.2">
      <c r="C93" s="1" t="s">
        <v>18</v>
      </c>
      <c r="E93" s="189">
        <v>250</v>
      </c>
      <c r="F93" s="1" t="s">
        <v>30</v>
      </c>
      <c r="G93" s="2">
        <v>0</v>
      </c>
      <c r="H93" s="255"/>
      <c r="I93" s="2">
        <f>$E$93*SUM(I10+I12+I8+I14)</f>
        <v>98750</v>
      </c>
      <c r="J93" s="255"/>
      <c r="K93" s="2">
        <f>$E$93*SUM(K10+K12+K8+K14)</f>
        <v>98750</v>
      </c>
      <c r="L93" s="2"/>
      <c r="M93" s="2">
        <f t="shared" ref="M93:T93" si="149">$E$93*SUM(M10+M12+M8+M14)</f>
        <v>98750</v>
      </c>
      <c r="N93" s="2">
        <f t="shared" si="149"/>
        <v>98750</v>
      </c>
      <c r="O93" s="2">
        <f t="shared" si="149"/>
        <v>98750</v>
      </c>
      <c r="P93" s="2">
        <f t="shared" si="149"/>
        <v>98750</v>
      </c>
      <c r="Q93" s="2">
        <f t="shared" si="149"/>
        <v>98750</v>
      </c>
      <c r="R93" s="2">
        <f t="shared" si="149"/>
        <v>98750</v>
      </c>
      <c r="S93" s="2">
        <f t="shared" si="149"/>
        <v>98750</v>
      </c>
      <c r="T93" s="2">
        <f t="shared" si="149"/>
        <v>98750</v>
      </c>
    </row>
    <row r="94" spans="1:32" x14ac:dyDescent="0.2">
      <c r="C94" s="1" t="s">
        <v>82</v>
      </c>
      <c r="E94" s="188">
        <v>0.02</v>
      </c>
      <c r="G94" s="2"/>
      <c r="H94" s="255"/>
      <c r="I94" s="2">
        <f>$E$94*I59</f>
        <v>74757.517800000001</v>
      </c>
      <c r="J94" s="255"/>
      <c r="K94" s="2">
        <f>$E$94*K59</f>
        <v>83308.163333999997</v>
      </c>
      <c r="L94" s="2"/>
      <c r="M94" s="2">
        <f t="shared" ref="M94:T94" si="150">$E$94*M59</f>
        <v>91243.573546019994</v>
      </c>
      <c r="N94" s="2">
        <f t="shared" si="150"/>
        <v>94914.089130960609</v>
      </c>
      <c r="O94" s="2">
        <f t="shared" si="150"/>
        <v>97761.511804889436</v>
      </c>
      <c r="P94" s="2">
        <f t="shared" si="150"/>
        <v>100694.35715903612</v>
      </c>
      <c r="Q94" s="2">
        <f t="shared" si="150"/>
        <v>103715.18787380721</v>
      </c>
      <c r="R94" s="2">
        <f t="shared" si="150"/>
        <v>106826.64351002141</v>
      </c>
      <c r="S94" s="2">
        <f t="shared" si="150"/>
        <v>110031.44281532208</v>
      </c>
      <c r="T94" s="2">
        <f t="shared" si="150"/>
        <v>113332.38609978172</v>
      </c>
    </row>
    <row r="95" spans="1:32" x14ac:dyDescent="0.2">
      <c r="E95" s="2"/>
      <c r="G95" s="2"/>
      <c r="H95" s="255"/>
      <c r="I95" s="2"/>
      <c r="J95" s="255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32" x14ac:dyDescent="0.2">
      <c r="B96" s="20" t="s">
        <v>163</v>
      </c>
      <c r="C96" s="20"/>
      <c r="D96" s="20"/>
      <c r="E96" s="237"/>
      <c r="F96" s="20"/>
      <c r="G96" s="237"/>
      <c r="H96" s="256"/>
      <c r="I96" s="237">
        <f>I91-I94-I93</f>
        <v>1908450.3366</v>
      </c>
      <c r="J96" s="256"/>
      <c r="K96" s="237">
        <f>K91-K94-K93</f>
        <v>2280904.4266980002</v>
      </c>
      <c r="L96" s="237"/>
      <c r="M96" s="237">
        <f t="shared" ref="M96:S96" si="151">M91-M94-M93</f>
        <v>2618666.1597869401</v>
      </c>
      <c r="N96" s="237">
        <f t="shared" si="151"/>
        <v>2721629.7931741485</v>
      </c>
      <c r="O96" s="237">
        <f t="shared" si="151"/>
        <v>2808425.8169693737</v>
      </c>
      <c r="P96" s="237">
        <f t="shared" si="151"/>
        <v>2897847.5677784546</v>
      </c>
      <c r="Q96" s="237">
        <f t="shared" si="151"/>
        <v>2989974.0358748087</v>
      </c>
      <c r="R96" s="237">
        <f t="shared" si="151"/>
        <v>3084886.5834246827</v>
      </c>
      <c r="S96" s="237">
        <f t="shared" si="151"/>
        <v>3182669.0156657896</v>
      </c>
      <c r="T96" s="237">
        <f>T82-T94-T93</f>
        <v>3283407.6542215133</v>
      </c>
    </row>
    <row r="97" spans="2:20" x14ac:dyDescent="0.2">
      <c r="B97" s="120"/>
      <c r="C97" s="120"/>
      <c r="D97" s="120"/>
      <c r="E97" s="245"/>
      <c r="F97" s="120"/>
      <c r="G97" s="245"/>
      <c r="H97" s="246"/>
      <c r="I97" s="245"/>
      <c r="J97" s="246"/>
      <c r="K97" s="245"/>
      <c r="L97" s="245"/>
      <c r="M97" s="245"/>
      <c r="N97" s="245"/>
      <c r="O97" s="245"/>
      <c r="P97" s="245"/>
      <c r="Q97" s="245"/>
      <c r="R97" s="245"/>
      <c r="S97" s="245"/>
      <c r="T97" s="245"/>
    </row>
    <row r="98" spans="2:20" x14ac:dyDescent="0.2">
      <c r="B98" s="120"/>
      <c r="C98" s="120"/>
      <c r="D98" s="120"/>
      <c r="E98" s="245"/>
      <c r="F98" s="120"/>
      <c r="G98" s="245"/>
      <c r="H98" s="246"/>
      <c r="I98" s="245"/>
      <c r="J98" s="246"/>
      <c r="K98" s="245"/>
      <c r="L98" s="245"/>
      <c r="M98" s="245"/>
      <c r="N98" s="245"/>
      <c r="O98" s="245"/>
      <c r="P98" s="245"/>
      <c r="Q98" s="245"/>
      <c r="R98" s="245"/>
      <c r="S98" s="245"/>
      <c r="T98" s="245"/>
    </row>
    <row r="99" spans="2:20" x14ac:dyDescent="0.2">
      <c r="B99" s="27" t="s">
        <v>11</v>
      </c>
      <c r="C99" s="27"/>
      <c r="D99" s="27"/>
      <c r="E99" s="27"/>
      <c r="F99" s="27"/>
      <c r="G99" s="28"/>
      <c r="H99" s="25"/>
      <c r="I99" s="25"/>
      <c r="J99" s="25"/>
      <c r="K99" s="25"/>
      <c r="L99" s="25"/>
      <c r="M99" s="25"/>
      <c r="N99" s="25"/>
      <c r="O99" s="26"/>
      <c r="P99" s="26"/>
      <c r="Q99" s="26"/>
      <c r="R99" s="26"/>
      <c r="S99" s="26"/>
      <c r="T99" s="26"/>
    </row>
    <row r="100" spans="2:20" x14ac:dyDescent="0.2">
      <c r="G100" s="2"/>
    </row>
    <row r="101" spans="2:20" x14ac:dyDescent="0.2">
      <c r="B101" s="30" t="s">
        <v>218</v>
      </c>
      <c r="C101" s="30"/>
      <c r="D101" s="30"/>
      <c r="E101" s="99">
        <v>5000</v>
      </c>
      <c r="F101" s="30" t="s">
        <v>30</v>
      </c>
      <c r="G101" s="31">
        <f>E101*(G10+G12+G8+G14+G16+G18)</f>
        <v>2025000</v>
      </c>
      <c r="H101" s="31"/>
      <c r="I101" s="31"/>
      <c r="J101" s="31"/>
      <c r="K101" s="31"/>
      <c r="L101" s="31"/>
      <c r="M101" s="31"/>
      <c r="N101" s="31"/>
      <c r="O101" s="30"/>
      <c r="P101" s="30"/>
      <c r="Q101" s="30"/>
      <c r="R101" s="30"/>
      <c r="S101" s="30"/>
      <c r="T101" s="30"/>
    </row>
    <row r="102" spans="2:20" ht="15" x14ac:dyDescent="0.35">
      <c r="B102" s="30" t="s">
        <v>217</v>
      </c>
      <c r="C102" s="30"/>
      <c r="D102" s="30"/>
      <c r="E102" s="30"/>
      <c r="F102" s="30"/>
      <c r="G102" s="34">
        <v>150000</v>
      </c>
      <c r="H102" s="31"/>
      <c r="I102" s="31"/>
      <c r="J102" s="31"/>
      <c r="K102" s="31"/>
      <c r="L102" s="31"/>
      <c r="M102" s="31"/>
      <c r="N102" s="31"/>
      <c r="O102" s="30"/>
      <c r="P102" s="30"/>
      <c r="Q102" s="30"/>
      <c r="R102" s="30"/>
      <c r="S102" s="30"/>
      <c r="T102" s="30"/>
    </row>
    <row r="103" spans="2:20" x14ac:dyDescent="0.2">
      <c r="B103" s="30"/>
      <c r="C103" s="30" t="s">
        <v>29</v>
      </c>
      <c r="D103" s="30"/>
      <c r="E103" s="30"/>
      <c r="F103" s="30"/>
      <c r="G103" s="31">
        <f>SUM(G101:G102)</f>
        <v>2175000</v>
      </c>
      <c r="H103" s="31"/>
      <c r="I103" s="31"/>
      <c r="J103" s="31"/>
      <c r="K103" s="31"/>
      <c r="L103" s="31"/>
      <c r="M103" s="31"/>
      <c r="N103" s="31"/>
      <c r="O103" s="30"/>
      <c r="P103" s="30"/>
      <c r="Q103" s="30"/>
      <c r="R103" s="30"/>
      <c r="S103" s="30"/>
      <c r="T103" s="30"/>
    </row>
    <row r="104" spans="2:20" x14ac:dyDescent="0.2">
      <c r="G104" s="2"/>
      <c r="H104" s="2"/>
      <c r="I104" s="2"/>
      <c r="J104" s="2"/>
      <c r="K104" s="2"/>
      <c r="L104" s="2"/>
      <c r="M104" s="2"/>
      <c r="N104" s="2"/>
    </row>
    <row r="105" spans="2:20" x14ac:dyDescent="0.2">
      <c r="B105" s="1" t="s">
        <v>19</v>
      </c>
      <c r="G105" s="2">
        <f>G88</f>
        <v>6800000</v>
      </c>
      <c r="H105" s="2"/>
      <c r="I105" s="2"/>
      <c r="J105" s="2"/>
      <c r="K105" s="2"/>
      <c r="L105" s="2"/>
      <c r="M105" s="2"/>
      <c r="N105" s="2"/>
    </row>
    <row r="106" spans="2:20" x14ac:dyDescent="0.2">
      <c r="B106" s="1" t="s">
        <v>31</v>
      </c>
      <c r="G106" s="2">
        <f>G103</f>
        <v>2175000</v>
      </c>
      <c r="H106" s="2"/>
      <c r="I106" s="2"/>
      <c r="J106" s="2"/>
      <c r="K106" s="2"/>
      <c r="L106" s="2"/>
      <c r="M106" s="2"/>
      <c r="N106" s="2"/>
    </row>
    <row r="107" spans="2:20" x14ac:dyDescent="0.2">
      <c r="B107" s="1" t="s">
        <v>105</v>
      </c>
      <c r="G107" s="2">
        <v>300000</v>
      </c>
      <c r="H107" s="2"/>
      <c r="I107" s="2">
        <f>G111*70%</f>
        <v>3160500</v>
      </c>
      <c r="J107" s="2"/>
      <c r="K107" s="2"/>
      <c r="L107" s="2"/>
      <c r="M107" s="2"/>
      <c r="N107" s="2"/>
    </row>
    <row r="108" spans="2:20" ht="15" x14ac:dyDescent="0.35">
      <c r="B108" s="1" t="s">
        <v>106</v>
      </c>
      <c r="E108" s="9">
        <v>0.05</v>
      </c>
      <c r="G108" s="33">
        <f>E108*G88</f>
        <v>340000</v>
      </c>
      <c r="H108" s="2"/>
      <c r="I108" s="2"/>
      <c r="J108" s="2"/>
      <c r="K108" s="2"/>
      <c r="L108" s="2"/>
      <c r="M108" s="2"/>
      <c r="N108" s="2"/>
    </row>
    <row r="109" spans="2:20" x14ac:dyDescent="0.2">
      <c r="C109" s="1" t="s">
        <v>32</v>
      </c>
      <c r="E109" s="3"/>
      <c r="G109" s="2">
        <f>SUM(G105:G108)</f>
        <v>9615000</v>
      </c>
      <c r="H109" s="2"/>
      <c r="I109" s="2"/>
      <c r="J109" s="2"/>
      <c r="K109" s="2"/>
      <c r="L109" s="2"/>
      <c r="M109" s="2"/>
      <c r="N109" s="2"/>
    </row>
    <row r="110" spans="2:20" x14ac:dyDescent="0.2">
      <c r="E110" s="3"/>
      <c r="G110" s="2"/>
      <c r="H110" s="2"/>
      <c r="I110" s="2"/>
      <c r="J110" s="2"/>
      <c r="K110" s="2"/>
      <c r="L110" s="2"/>
      <c r="M110" s="2"/>
      <c r="N110" s="2"/>
    </row>
    <row r="111" spans="2:20" x14ac:dyDescent="0.2">
      <c r="B111" s="30" t="s">
        <v>13</v>
      </c>
      <c r="C111" s="30"/>
      <c r="D111" s="30"/>
      <c r="E111" s="35"/>
      <c r="F111" s="30"/>
      <c r="G111" s="31">
        <f>G109-G113</f>
        <v>4515000</v>
      </c>
      <c r="H111" s="2"/>
      <c r="I111" s="2">
        <f>G111</f>
        <v>4515000</v>
      </c>
      <c r="J111" s="2"/>
      <c r="K111" s="2">
        <f>I111</f>
        <v>4515000</v>
      </c>
      <c r="L111" s="2"/>
      <c r="M111" s="2">
        <f>K111</f>
        <v>4515000</v>
      </c>
      <c r="N111" s="2">
        <f ca="1">M111-M139</f>
        <v>-20599783.584721647</v>
      </c>
      <c r="O111" s="2">
        <f t="shared" ref="O111:T111" ca="1" si="152">N111</f>
        <v>-20599783.584721647</v>
      </c>
      <c r="P111" s="2">
        <f t="shared" ca="1" si="152"/>
        <v>-20599783.584721647</v>
      </c>
      <c r="Q111" s="2">
        <f t="shared" ca="1" si="152"/>
        <v>-20599783.584721647</v>
      </c>
      <c r="R111" s="2">
        <f t="shared" ca="1" si="152"/>
        <v>-20599783.584721647</v>
      </c>
      <c r="S111" s="2">
        <f t="shared" ca="1" si="152"/>
        <v>-20599783.584721647</v>
      </c>
      <c r="T111" s="2">
        <f t="shared" ca="1" si="152"/>
        <v>-20599783.584721647</v>
      </c>
    </row>
    <row r="112" spans="2:20" x14ac:dyDescent="0.2">
      <c r="E112" s="3"/>
      <c r="G112" s="2"/>
      <c r="H112" s="2"/>
      <c r="I112" s="2"/>
      <c r="J112" s="2"/>
      <c r="K112" s="2"/>
      <c r="L112" s="2"/>
      <c r="M112" s="2"/>
      <c r="N112" s="2"/>
    </row>
    <row r="113" spans="2:20" ht="15" x14ac:dyDescent="0.35">
      <c r="B113" s="30" t="s">
        <v>12</v>
      </c>
      <c r="C113" s="30"/>
      <c r="D113" s="30"/>
      <c r="E113" s="30"/>
      <c r="F113" s="30"/>
      <c r="G113" s="34">
        <f>(E114*G88)+G115</f>
        <v>5100000</v>
      </c>
      <c r="H113" s="2"/>
      <c r="I113" s="2"/>
      <c r="J113" s="2"/>
      <c r="K113" s="2"/>
      <c r="L113" s="2"/>
      <c r="M113" s="2"/>
      <c r="N113" s="2"/>
    </row>
    <row r="114" spans="2:20" x14ac:dyDescent="0.2">
      <c r="E114" s="9">
        <v>0.75</v>
      </c>
      <c r="F114" s="1" t="s">
        <v>33</v>
      </c>
      <c r="G114" s="2">
        <f>E114*G88</f>
        <v>5100000</v>
      </c>
      <c r="H114" s="2"/>
      <c r="I114" s="2"/>
      <c r="J114" s="2"/>
      <c r="K114" s="2"/>
      <c r="L114" s="2"/>
      <c r="M114" s="2"/>
      <c r="N114" s="2"/>
    </row>
    <row r="115" spans="2:20" x14ac:dyDescent="0.2">
      <c r="C115" s="1" t="s">
        <v>102</v>
      </c>
      <c r="E115" s="6">
        <v>0</v>
      </c>
      <c r="F115" s="1" t="s">
        <v>30</v>
      </c>
      <c r="G115" s="2">
        <f>E115*174</f>
        <v>0</v>
      </c>
      <c r="H115" s="2"/>
      <c r="I115" s="2"/>
      <c r="J115" s="2"/>
      <c r="K115" s="2"/>
      <c r="L115" s="2"/>
      <c r="M115" s="2"/>
      <c r="N115" s="2"/>
    </row>
    <row r="116" spans="2:20" x14ac:dyDescent="0.2">
      <c r="E116" s="3"/>
      <c r="G116" s="2"/>
      <c r="H116" s="2"/>
      <c r="I116" s="2"/>
      <c r="J116" s="2"/>
      <c r="K116" s="2"/>
      <c r="L116" s="2"/>
      <c r="M116" s="2"/>
      <c r="N116" s="2"/>
    </row>
    <row r="117" spans="2:20" x14ac:dyDescent="0.2">
      <c r="C117" s="1" t="s">
        <v>26</v>
      </c>
      <c r="G117" s="94">
        <v>4.1000000000000002E-2</v>
      </c>
      <c r="K117" s="142">
        <v>4.8000000000000001E-2</v>
      </c>
      <c r="L117" s="142"/>
      <c r="M117" s="142">
        <v>4.8000000000000001E-2</v>
      </c>
      <c r="N117" s="142">
        <v>4.8000000000000001E-2</v>
      </c>
      <c r="O117" s="142">
        <v>4.8000000000000001E-2</v>
      </c>
      <c r="P117" s="142">
        <v>4.8000000000000001E-2</v>
      </c>
      <c r="Q117" s="142">
        <v>4.8000000000000001E-2</v>
      </c>
      <c r="R117" s="142">
        <v>4.8000000000000001E-2</v>
      </c>
      <c r="S117" s="142">
        <v>4.8000000000000001E-2</v>
      </c>
      <c r="T117" s="142">
        <v>4.8000000000000001E-2</v>
      </c>
    </row>
    <row r="118" spans="2:20" x14ac:dyDescent="0.2">
      <c r="C118" s="1" t="s">
        <v>27</v>
      </c>
      <c r="G118" s="95">
        <v>30</v>
      </c>
      <c r="K118" s="143">
        <v>30</v>
      </c>
      <c r="L118" s="143"/>
      <c r="M118" s="143">
        <v>30</v>
      </c>
      <c r="N118" s="143">
        <v>30</v>
      </c>
      <c r="O118" s="143">
        <v>30</v>
      </c>
      <c r="P118" s="143">
        <v>30</v>
      </c>
      <c r="Q118" s="143">
        <v>30</v>
      </c>
      <c r="R118" s="143">
        <v>30</v>
      </c>
      <c r="S118" s="143">
        <v>30</v>
      </c>
      <c r="T118" s="143">
        <v>30</v>
      </c>
    </row>
    <row r="119" spans="2:20" ht="15" x14ac:dyDescent="0.35">
      <c r="C119" s="1" t="s">
        <v>28</v>
      </c>
      <c r="G119" s="29">
        <f>-PMT(G117/12,G118*12,G113)*12</f>
        <v>295717.40311472246</v>
      </c>
      <c r="H119" s="33"/>
      <c r="I119" s="33">
        <f ca="1">SUM(I120:I123)</f>
        <v>291965.87618849555</v>
      </c>
      <c r="J119" s="33"/>
      <c r="K119" s="33">
        <f t="shared" ref="K119:T119" ca="1" si="153">SUM(K120:K123)</f>
        <v>300825.85311472241</v>
      </c>
      <c r="L119" s="33"/>
      <c r="M119" s="33">
        <f t="shared" ca="1" si="153"/>
        <v>295717.40311472246</v>
      </c>
      <c r="N119" s="33">
        <f t="shared" ca="1" si="153"/>
        <v>2142253.2852622094</v>
      </c>
      <c r="O119" s="33">
        <f t="shared" ca="1" si="153"/>
        <v>2142253.2852622098</v>
      </c>
      <c r="P119" s="33">
        <f t="shared" ca="1" si="153"/>
        <v>2142253.2852622098</v>
      </c>
      <c r="Q119" s="33">
        <f t="shared" ca="1" si="153"/>
        <v>2142253.2852622098</v>
      </c>
      <c r="R119" s="33">
        <f t="shared" ca="1" si="153"/>
        <v>2142253.2852622098</v>
      </c>
      <c r="S119" s="33">
        <f t="shared" ca="1" si="153"/>
        <v>2142253.2852622094</v>
      </c>
      <c r="T119" s="33">
        <f t="shared" ca="1" si="153"/>
        <v>2142253.2852622094</v>
      </c>
    </row>
    <row r="120" spans="2:20" x14ac:dyDescent="0.2">
      <c r="D120" s="1" t="s">
        <v>142</v>
      </c>
      <c r="G120" s="29"/>
      <c r="H120" s="2"/>
      <c r="I120" s="2">
        <v>0</v>
      </c>
      <c r="J120" s="2"/>
      <c r="K120" s="2">
        <v>0</v>
      </c>
      <c r="L120" s="2"/>
      <c r="M120" s="2">
        <v>0</v>
      </c>
      <c r="N120" s="2">
        <f ca="1">-PPMT($E$142,I4,$E$143,$M$145)</f>
        <v>321500.60417188314</v>
      </c>
      <c r="O120" s="2">
        <f ca="1">-PPMT($E$142,K4,$E$143,$M$145)</f>
        <v>340790.64042219613</v>
      </c>
      <c r="P120" s="2">
        <f ca="1">-PPMT($E$142,M4,$E$143,$M$145)</f>
        <v>361238.07884752785</v>
      </c>
      <c r="Q120" s="2">
        <f ca="1">-PPMT($E$142,N4,$E$143,$M$145)</f>
        <v>382912.36357837956</v>
      </c>
      <c r="R120" s="2">
        <f ca="1">-PPMT($E$142,O4,$E$143,$M$145)</f>
        <v>405887.10539308231</v>
      </c>
      <c r="S120" s="2">
        <f ca="1">-PPMT($E$142,P4,$E$143,$M$145)</f>
        <v>430240.33171666722</v>
      </c>
      <c r="T120" s="2">
        <f ca="1">-PPMT($E$142,Q4,$E$143,$M$145)</f>
        <v>456054.75161966734</v>
      </c>
    </row>
    <row r="121" spans="2:20" x14ac:dyDescent="0.2">
      <c r="D121" s="1" t="s">
        <v>143</v>
      </c>
      <c r="G121" s="29"/>
      <c r="H121" s="2"/>
      <c r="I121" s="2">
        <v>0</v>
      </c>
      <c r="J121" s="2"/>
      <c r="K121" s="2">
        <v>0</v>
      </c>
      <c r="L121" s="2"/>
      <c r="M121" s="2">
        <v>0</v>
      </c>
      <c r="N121" s="2">
        <f ca="1">-IPMT($E$142,I4,$E$143,$M$145)</f>
        <v>1525035.2779756042</v>
      </c>
      <c r="O121" s="2">
        <f ca="1">-IPMT($E$142,K4,$E$143,$M$145)</f>
        <v>1505745.2417252911</v>
      </c>
      <c r="P121" s="2">
        <f ca="1">-IPMT($E$142,M4,$E$143,$M$145)</f>
        <v>1485297.8032999593</v>
      </c>
      <c r="Q121" s="2">
        <f ca="1">-IPMT($E$142,N4,$E$143,$M$145)</f>
        <v>1463623.5185691076</v>
      </c>
      <c r="R121" s="2">
        <f ca="1">-IPMT($E$142,O4,$E$143,$M$145)</f>
        <v>1440648.7767544049</v>
      </c>
      <c r="S121" s="2">
        <f ca="1">-IPMT($E$142,P4,$E$143,$M$145)</f>
        <v>1416295.5504308199</v>
      </c>
      <c r="T121" s="2">
        <f ca="1">-IPMT($E$142,Q4,$E$143,$M$145)</f>
        <v>1390481.1305278197</v>
      </c>
    </row>
    <row r="122" spans="2:20" x14ac:dyDescent="0.2">
      <c r="D122" s="1" t="s">
        <v>147</v>
      </c>
      <c r="H122" s="2"/>
      <c r="I122" s="2">
        <f ca="1">VLOOKUP(I4,Amortization!$AK$6:$BA$36,5)</f>
        <v>82865.87618849556</v>
      </c>
      <c r="J122" s="2"/>
      <c r="K122" s="2">
        <f ca="1">VLOOKUP(K4,Amortization!$AK$6:$BA$36,5)</f>
        <v>91725.853114722442</v>
      </c>
      <c r="L122" s="2"/>
      <c r="M122" s="2">
        <f ca="1">VLOOKUP(M4,Amortization!$AK$6:$BA$36,5)</f>
        <v>95558.083114722453</v>
      </c>
      <c r="N122" s="2">
        <f ca="1">VLOOKUP(N4,Amortization!$AK$6:$BA$36,5)</f>
        <v>99550.443114722453</v>
      </c>
      <c r="O122" s="2">
        <f ca="1">VLOOKUP(O4,Amortization!$AK$6:$BA$36,5)</f>
        <v>103709.58311472244</v>
      </c>
      <c r="P122" s="2">
        <f ca="1">VLOOKUP(P4,Amortization!$AK$6:$BA$36,5)</f>
        <v>108042.50311472245</v>
      </c>
      <c r="Q122" s="2">
        <f ca="1">VLOOKUP(Q4,Amortization!$AK$6:$BA$36,5)</f>
        <v>112556.43311472244</v>
      </c>
      <c r="R122" s="2">
        <f ca="1">VLOOKUP(R4,Amortization!$AK$6:$BA$36,5)</f>
        <v>117258.98311472245</v>
      </c>
      <c r="S122" s="2">
        <f ca="1">VLOOKUP(S4,Amortization!$AK$6:$BA$36,5)</f>
        <v>122157.95311472245</v>
      </c>
      <c r="T122" s="2">
        <f ca="1">VLOOKUP(T4,Amortization!$AK$6:$BA$36,5)</f>
        <v>127261.65311472245</v>
      </c>
    </row>
    <row r="123" spans="2:20" ht="15" x14ac:dyDescent="0.35">
      <c r="D123" s="1" t="s">
        <v>148</v>
      </c>
      <c r="H123" s="33"/>
      <c r="I123" s="33">
        <f>G113*G117</f>
        <v>209100</v>
      </c>
      <c r="J123" s="33"/>
      <c r="K123" s="33">
        <f>G113*G117</f>
        <v>209100</v>
      </c>
      <c r="L123" s="33"/>
      <c r="M123" s="33">
        <f ca="1">VLOOKUP(M4,Amortization!$AK$6:$BA$36,3)</f>
        <v>200159.31999999998</v>
      </c>
      <c r="N123" s="33">
        <f ca="1">VLOOKUP(N4,Amortization!$AK$6:$BA$36,3)</f>
        <v>196166.95999999996</v>
      </c>
      <c r="O123" s="33">
        <f ca="1">VLOOKUP(O4,Amortization!$AK$6:$BA$36,3)</f>
        <v>192007.81999999998</v>
      </c>
      <c r="P123" s="33">
        <f ca="1">VLOOKUP(P4,Amortization!$AK$6:$BA$36,3)</f>
        <v>187674.9</v>
      </c>
      <c r="Q123" s="33">
        <f ca="1">VLOOKUP(Q4,Amortization!$AK$6:$BA$36,3)</f>
        <v>183160.97</v>
      </c>
      <c r="R123" s="33">
        <f ca="1">VLOOKUP(R4,Amortization!$AK$6:$BA$36,3)</f>
        <v>178458.41999999998</v>
      </c>
      <c r="S123" s="33">
        <f ca="1">VLOOKUP(S4,Amortization!$AK$6:$BA$36,3)</f>
        <v>173559.44999999998</v>
      </c>
      <c r="T123" s="33">
        <f ca="1">VLOOKUP(T4,Amortization!$AK$6:$BA$36,3)</f>
        <v>168455.74999999997</v>
      </c>
    </row>
    <row r="124" spans="2:20" x14ac:dyDescent="0.2">
      <c r="D124" s="1" t="s">
        <v>43</v>
      </c>
      <c r="H124" s="2"/>
      <c r="I124" s="2">
        <f ca="1">VLOOKUP(I4,Amortization!$AK$6:$BA$36,9)</f>
        <v>5017134.1238115039</v>
      </c>
      <c r="J124" s="2"/>
      <c r="K124" s="2">
        <f ca="1">VLOOKUP(K4,Amortization!$AK$6:$BA$36,9)</f>
        <v>4925408.2706967834</v>
      </c>
      <c r="L124" s="2"/>
      <c r="M124" s="2">
        <f ca="1">VLOOKUP(M4,Amortization!$AK$6:$BA$36,9)</f>
        <v>4829850.1875820598</v>
      </c>
      <c r="N124" s="2">
        <f ca="1">VLOOKUP(N4,Amortization!$AK$6:$BA$36,9)+M139-N120</f>
        <v>29523582.725017101</v>
      </c>
      <c r="O124" s="2">
        <f ca="1">VLOOKUP(O4,Amortization!$AK$6:$BA$36,9)+M139-SUM(N120:O120)</f>
        <v>29079082.501480184</v>
      </c>
      <c r="P124" s="2">
        <f ca="1">VLOOKUP(P4,Amortization!$AK$6:$BA$36,9)+M139-SUM(N120:P120)</f>
        <v>28609801.919517934</v>
      </c>
      <c r="Q124" s="2">
        <f ca="1">VLOOKUP(Q4,Amortization!$AK$6:$BA$36,9)+M139-SUM(N120:Q120)</f>
        <v>28114333.122824833</v>
      </c>
      <c r="R124" s="2">
        <f ca="1">VLOOKUP(R4,Amortization!$AK$6:$BA$36,9)+M139-SUM(N120:R120)</f>
        <v>27591187.034317024</v>
      </c>
      <c r="S124" s="2">
        <f ca="1">VLOOKUP(S4,Amortization!$AK$6:$BA$36,9)+M139-SUM(N120:S120)</f>
        <v>27038788.749485642</v>
      </c>
      <c r="T124" s="2">
        <f ca="1">VLOOKUP(T4,Amortization!$AK$6:$BA$36,9)+M139-SUM(N120:T120)</f>
        <v>26455472.344751246</v>
      </c>
    </row>
    <row r="126" spans="2:20" x14ac:dyDescent="0.2">
      <c r="B126" s="30" t="s">
        <v>69</v>
      </c>
      <c r="C126" s="30"/>
      <c r="D126" s="30"/>
      <c r="E126" s="30"/>
      <c r="F126" s="30"/>
      <c r="G126" s="97">
        <f>G82/G119</f>
        <v>1.1805820162182366</v>
      </c>
      <c r="H126" s="97"/>
      <c r="I126" s="97">
        <f ca="1">I82/I119</f>
        <v>7.1308259772654772</v>
      </c>
      <c r="J126" s="97"/>
      <c r="K126" s="97">
        <f ca="1">K82/K119</f>
        <v>8.187336841334341</v>
      </c>
      <c r="L126" s="97"/>
      <c r="M126" s="97">
        <f t="shared" ref="M126:T126" ca="1" si="154">M82/M119</f>
        <v>9.4977830311980345</v>
      </c>
      <c r="N126" s="97">
        <f t="shared" ca="1" si="154"/>
        <v>1.3608539673441464</v>
      </c>
      <c r="O126" s="97">
        <f t="shared" ca="1" si="154"/>
        <v>1.4026993677390773</v>
      </c>
      <c r="P126" s="97">
        <f t="shared" ca="1" si="154"/>
        <v>1.4458103279596022</v>
      </c>
      <c r="Q126" s="97">
        <f t="shared" ca="1" si="154"/>
        <v>1.4902249167786266</v>
      </c>
      <c r="R126" s="97">
        <f t="shared" ca="1" si="154"/>
        <v>1.5359823460520237</v>
      </c>
      <c r="S126" s="97">
        <f t="shared" ca="1" si="154"/>
        <v>1.5831230050213236</v>
      </c>
      <c r="T126" s="97">
        <f t="shared" ca="1" si="154"/>
        <v>1.6316884956455797</v>
      </c>
    </row>
    <row r="127" spans="2:20" x14ac:dyDescent="0.2"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</row>
    <row r="128" spans="2:20" x14ac:dyDescent="0.2">
      <c r="B128" s="27" t="s">
        <v>99</v>
      </c>
      <c r="C128" s="27"/>
      <c r="D128" s="27"/>
      <c r="E128" s="134">
        <f ca="1">IRR(G128:T128)</f>
        <v>0.44767064635752796</v>
      </c>
      <c r="F128" s="27"/>
      <c r="G128" s="28">
        <f>-G111</f>
        <v>-4515000</v>
      </c>
      <c r="H128" s="28"/>
      <c r="I128" s="28">
        <f ca="1">I82-I119</f>
        <v>1789991.9782115044</v>
      </c>
      <c r="J128" s="28"/>
      <c r="K128" s="28">
        <f ca="1">K82-K119</f>
        <v>2162136.7369172778</v>
      </c>
      <c r="L128" s="28"/>
      <c r="M128" s="28">
        <f t="shared" ref="M128:S128" ca="1" si="155">M82-M119</f>
        <v>2512942.3302182374</v>
      </c>
      <c r="N128" s="28">
        <f ca="1">N82-N119</f>
        <v>773040.59704289958</v>
      </c>
      <c r="O128" s="28">
        <f t="shared" ca="1" si="155"/>
        <v>862684.04351205332</v>
      </c>
      <c r="P128" s="28">
        <f t="shared" ca="1" si="155"/>
        <v>955038.63967528101</v>
      </c>
      <c r="Q128" s="28">
        <f t="shared" ca="1" si="155"/>
        <v>1050185.9384864061</v>
      </c>
      <c r="R128" s="28">
        <f t="shared" ca="1" si="155"/>
        <v>1148209.9416724942</v>
      </c>
      <c r="S128" s="28">
        <f t="shared" ca="1" si="155"/>
        <v>1249197.1732189022</v>
      </c>
      <c r="T128" s="28">
        <f ca="1">T82-T119+T85-T124</f>
        <v>33155931.748996094</v>
      </c>
    </row>
    <row r="129" spans="1:20" x14ac:dyDescent="0.2">
      <c r="A129" s="107"/>
      <c r="B129" s="112" t="s">
        <v>100</v>
      </c>
      <c r="C129" s="113"/>
      <c r="D129" s="113"/>
      <c r="E129" s="113"/>
      <c r="F129" s="113"/>
      <c r="G129" s="113"/>
      <c r="H129" s="114"/>
      <c r="I129" s="114">
        <f ca="1">(I82-I119)/I111</f>
        <v>0.39645448022403196</v>
      </c>
      <c r="J129" s="114"/>
      <c r="K129" s="114">
        <f ca="1">(K82-K119)/K111</f>
        <v>0.47887856853095856</v>
      </c>
      <c r="L129" s="114"/>
      <c r="M129" s="114">
        <f ca="1">(M82-M119)/M111</f>
        <v>0.55657637435619878</v>
      </c>
      <c r="N129" s="114">
        <f ca="1">(N82-N119)/N111</f>
        <v>-3.752663681458502E-2</v>
      </c>
      <c r="O129" s="114">
        <f t="shared" ref="O129:T129" ca="1" si="156">(O82-O119)/O111</f>
        <v>-4.1878306146472567E-2</v>
      </c>
      <c r="P129" s="114">
        <f t="shared" ca="1" si="156"/>
        <v>-4.6361586069458012E-2</v>
      </c>
      <c r="Q129" s="114">
        <f t="shared" ca="1" si="156"/>
        <v>-5.0980435506385764E-2</v>
      </c>
      <c r="R129" s="114">
        <f t="shared" ca="1" si="156"/>
        <v>-5.5738932253836554E-2</v>
      </c>
      <c r="S129" s="114">
        <f t="shared" ca="1" si="156"/>
        <v>-6.0641276549400304E-2</v>
      </c>
      <c r="T129" s="114">
        <f t="shared" ca="1" si="156"/>
        <v>-6.569179474597725E-2</v>
      </c>
    </row>
    <row r="131" spans="1:20" x14ac:dyDescent="0.2">
      <c r="B131" s="90" t="s">
        <v>96</v>
      </c>
      <c r="C131" s="90"/>
      <c r="D131" s="90"/>
      <c r="E131" s="90"/>
      <c r="F131" s="90"/>
      <c r="G131" s="91"/>
      <c r="H131" s="92"/>
      <c r="I131" s="92"/>
      <c r="J131" s="92"/>
      <c r="K131" s="92"/>
      <c r="L131" s="92"/>
      <c r="M131" s="92"/>
      <c r="N131" s="92"/>
      <c r="O131" s="93"/>
      <c r="P131" s="93"/>
      <c r="Q131" s="93"/>
      <c r="R131" s="93"/>
      <c r="S131" s="93"/>
      <c r="T131" s="93"/>
    </row>
    <row r="133" spans="1:20" ht="15" x14ac:dyDescent="0.35">
      <c r="B133" s="1" t="s">
        <v>109</v>
      </c>
      <c r="E133" s="5">
        <v>0.02</v>
      </c>
      <c r="G133" s="102"/>
      <c r="H133" s="102"/>
      <c r="I133" s="102">
        <f>I94</f>
        <v>74757.517800000001</v>
      </c>
      <c r="J133" s="102">
        <f t="shared" ref="J133:T133" si="157">J94</f>
        <v>0</v>
      </c>
      <c r="K133" s="102">
        <f t="shared" si="157"/>
        <v>83308.163333999997</v>
      </c>
      <c r="L133" s="102">
        <f t="shared" si="157"/>
        <v>0</v>
      </c>
      <c r="M133" s="102">
        <f t="shared" si="157"/>
        <v>91243.573546019994</v>
      </c>
      <c r="N133" s="102">
        <f t="shared" si="157"/>
        <v>94914.089130960609</v>
      </c>
      <c r="O133" s="102">
        <f t="shared" si="157"/>
        <v>97761.511804889436</v>
      </c>
      <c r="P133" s="102">
        <f t="shared" si="157"/>
        <v>100694.35715903612</v>
      </c>
      <c r="Q133" s="102">
        <f t="shared" si="157"/>
        <v>103715.18787380721</v>
      </c>
      <c r="R133" s="102">
        <f t="shared" si="157"/>
        <v>106826.64351002141</v>
      </c>
      <c r="S133" s="102">
        <f t="shared" si="157"/>
        <v>110031.44281532208</v>
      </c>
      <c r="T133" s="102">
        <f t="shared" si="157"/>
        <v>113332.38609978172</v>
      </c>
    </row>
    <row r="134" spans="1:20" x14ac:dyDescent="0.2">
      <c r="B134" s="1" t="s">
        <v>70</v>
      </c>
      <c r="G134" s="29">
        <f>G82-G119-G133</f>
        <v>53401.244885277585</v>
      </c>
      <c r="H134" s="29"/>
      <c r="I134" s="29">
        <f ca="1">I96-I119</f>
        <v>1616484.4604115044</v>
      </c>
      <c r="J134" s="29"/>
      <c r="K134" s="29">
        <f ca="1">K96-K119</f>
        <v>1980078.5735832779</v>
      </c>
      <c r="L134" s="29"/>
      <c r="M134" s="29">
        <f ca="1">M96-M119</f>
        <v>2322948.7566722175</v>
      </c>
      <c r="N134" s="29">
        <f t="shared" ref="N134:T134" ca="1" si="158">N96-N119</f>
        <v>579376.50791193917</v>
      </c>
      <c r="O134" s="29">
        <f t="shared" ca="1" si="158"/>
        <v>666172.5317071639</v>
      </c>
      <c r="P134" s="29">
        <f t="shared" ca="1" si="158"/>
        <v>755594.2825162448</v>
      </c>
      <c r="Q134" s="29">
        <f t="shared" ca="1" si="158"/>
        <v>847720.75061259884</v>
      </c>
      <c r="R134" s="29">
        <f t="shared" ca="1" si="158"/>
        <v>942633.2981624729</v>
      </c>
      <c r="S134" s="29">
        <f t="shared" ca="1" si="158"/>
        <v>1040415.7304035802</v>
      </c>
      <c r="T134" s="29">
        <f t="shared" ca="1" si="158"/>
        <v>1141154.3689593039</v>
      </c>
    </row>
    <row r="136" spans="1:20" x14ac:dyDescent="0.2">
      <c r="B136" s="181" t="s">
        <v>74</v>
      </c>
      <c r="C136" s="181"/>
      <c r="D136" s="181"/>
      <c r="E136" s="181"/>
      <c r="F136" s="181"/>
      <c r="G136" s="181"/>
      <c r="H136" s="184"/>
      <c r="I136" s="184"/>
      <c r="J136" s="184"/>
      <c r="K136" s="184"/>
      <c r="L136" s="184"/>
      <c r="M136" s="184"/>
      <c r="N136" s="184"/>
      <c r="O136" s="332">
        <f ca="1">O85-(O85*$E$137)-O111-O124</f>
        <v>34976717.837823115</v>
      </c>
      <c r="P136" s="184"/>
      <c r="Q136" s="184"/>
      <c r="R136" s="184"/>
      <c r="S136" s="184"/>
      <c r="T136" s="332">
        <f ca="1">T85-(T85*$E$137)-T111-T124</f>
        <v>48906988.538337357</v>
      </c>
    </row>
    <row r="137" spans="1:20" x14ac:dyDescent="0.2">
      <c r="D137" s="1" t="s">
        <v>77</v>
      </c>
      <c r="E137" s="9">
        <v>0.06</v>
      </c>
    </row>
    <row r="138" spans="1:20" x14ac:dyDescent="0.2">
      <c r="E138" s="3"/>
    </row>
    <row r="139" spans="1:20" x14ac:dyDescent="0.2">
      <c r="B139" s="181" t="s">
        <v>141</v>
      </c>
      <c r="C139" s="181"/>
      <c r="D139" s="181"/>
      <c r="E139" s="181"/>
      <c r="F139" s="181"/>
      <c r="G139" s="181"/>
      <c r="H139" s="184"/>
      <c r="I139" s="184"/>
      <c r="J139" s="184"/>
      <c r="K139" s="184"/>
      <c r="L139" s="184"/>
      <c r="M139" s="332">
        <f ca="1">(M85*$E$141)-M124-((M85*$E$141)*$E$140)</f>
        <v>25114783.584721647</v>
      </c>
      <c r="N139" s="184"/>
      <c r="O139" s="184"/>
      <c r="P139" s="184"/>
      <c r="Q139" s="184"/>
      <c r="R139" s="184"/>
      <c r="S139" s="184"/>
      <c r="T139" s="184"/>
    </row>
    <row r="140" spans="1:20" x14ac:dyDescent="0.2">
      <c r="C140" s="1" t="s">
        <v>77</v>
      </c>
      <c r="E140" s="9">
        <v>0.01</v>
      </c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</row>
    <row r="141" spans="1:20" x14ac:dyDescent="0.2">
      <c r="C141" s="1" t="s">
        <v>76</v>
      </c>
      <c r="E141" s="9">
        <v>0.7</v>
      </c>
    </row>
    <row r="142" spans="1:20" x14ac:dyDescent="0.2">
      <c r="C142" s="1" t="s">
        <v>78</v>
      </c>
      <c r="E142" s="94">
        <v>0.06</v>
      </c>
    </row>
    <row r="143" spans="1:20" x14ac:dyDescent="0.2">
      <c r="C143" s="1" t="s">
        <v>79</v>
      </c>
      <c r="E143" s="103">
        <v>30</v>
      </c>
    </row>
    <row r="144" spans="1:20" x14ac:dyDescent="0.2">
      <c r="C144" s="181" t="s">
        <v>81</v>
      </c>
      <c r="D144" s="181"/>
      <c r="E144" s="181"/>
      <c r="F144" s="181"/>
      <c r="G144" s="181"/>
      <c r="H144" s="184"/>
      <c r="I144" s="184"/>
      <c r="J144" s="184"/>
      <c r="K144" s="184"/>
      <c r="L144" s="184"/>
      <c r="M144" s="184">
        <f>$E$141*M85</f>
        <v>30247104.820508797</v>
      </c>
      <c r="N144" s="29"/>
      <c r="O144" s="29"/>
      <c r="P144" s="29"/>
      <c r="Q144" s="29"/>
      <c r="R144" s="29"/>
      <c r="S144" s="29"/>
      <c r="T144" s="29"/>
    </row>
    <row r="145" spans="2:20" x14ac:dyDescent="0.2">
      <c r="C145" s="181" t="s">
        <v>140</v>
      </c>
      <c r="D145" s="181"/>
      <c r="E145" s="181"/>
      <c r="F145" s="181"/>
      <c r="G145" s="181"/>
      <c r="H145" s="184"/>
      <c r="I145" s="184"/>
      <c r="J145" s="184"/>
      <c r="K145" s="184"/>
      <c r="L145" s="184"/>
      <c r="M145" s="184">
        <f ca="1">M144-M124</f>
        <v>25417254.632926736</v>
      </c>
      <c r="N145" s="29"/>
      <c r="O145" s="29"/>
      <c r="P145" s="29"/>
      <c r="Q145" s="29"/>
      <c r="R145" s="29"/>
      <c r="S145" s="29"/>
      <c r="T145" s="29"/>
    </row>
    <row r="146" spans="2:20" x14ac:dyDescent="0.2">
      <c r="C146" s="181" t="s">
        <v>28</v>
      </c>
      <c r="D146" s="181"/>
      <c r="E146" s="181"/>
      <c r="F146" s="181"/>
      <c r="G146" s="181"/>
      <c r="H146" s="183"/>
      <c r="I146" s="183"/>
      <c r="J146" s="183"/>
      <c r="K146" s="183"/>
      <c r="L146" s="183"/>
      <c r="M146" s="183">
        <f ca="1">-PMT(E142,E143,M145)</f>
        <v>1846535.882147487</v>
      </c>
      <c r="N146" s="2"/>
      <c r="O146" s="2"/>
      <c r="P146" s="2"/>
      <c r="Q146" s="2"/>
      <c r="R146" s="2"/>
      <c r="S146" s="2"/>
      <c r="T146" s="2"/>
    </row>
    <row r="147" spans="2:20" x14ac:dyDescent="0.2">
      <c r="C147" s="1" t="s">
        <v>69</v>
      </c>
      <c r="H147" s="96"/>
      <c r="I147" s="96"/>
      <c r="J147" s="96"/>
      <c r="K147" s="96"/>
      <c r="L147" s="96"/>
      <c r="M147" s="96">
        <f ca="1">M91/(M146+M119)</f>
        <v>1.3110773374256646</v>
      </c>
      <c r="N147" s="96"/>
      <c r="O147" s="96"/>
      <c r="P147" s="96"/>
      <c r="Q147" s="96"/>
      <c r="R147" s="96"/>
      <c r="S147" s="96"/>
      <c r="T147" s="96"/>
    </row>
    <row r="149" spans="2:20" x14ac:dyDescent="0.2">
      <c r="B149" s="115" t="s">
        <v>71</v>
      </c>
      <c r="C149" s="115"/>
      <c r="D149" s="115"/>
      <c r="E149" s="115"/>
      <c r="F149" s="115"/>
      <c r="G149" s="115"/>
      <c r="H149" s="115"/>
      <c r="I149" s="115"/>
      <c r="J149" s="115"/>
      <c r="K149" s="115"/>
      <c r="L149" s="115"/>
      <c r="M149" s="115"/>
      <c r="N149" s="115"/>
      <c r="O149" s="115"/>
      <c r="P149" s="115"/>
      <c r="Q149" s="115"/>
      <c r="R149" s="115"/>
      <c r="S149" s="115"/>
      <c r="T149" s="115"/>
    </row>
    <row r="150" spans="2:20" x14ac:dyDescent="0.2">
      <c r="B150" s="120"/>
      <c r="C150" s="120"/>
      <c r="D150" s="120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</row>
    <row r="151" spans="2:20" x14ac:dyDescent="0.2">
      <c r="C151" s="109" t="s">
        <v>72</v>
      </c>
      <c r="E151" s="9">
        <v>7.0000000000000007E-2</v>
      </c>
      <c r="G151" s="29"/>
      <c r="H151" s="124"/>
      <c r="I151" s="124">
        <f t="shared" ref="I151:T151" ca="1" si="159">IF(I134=0,0,I111*$E$151)</f>
        <v>316050.00000000006</v>
      </c>
      <c r="J151" s="124"/>
      <c r="K151" s="124">
        <f t="shared" ca="1" si="159"/>
        <v>316050.00000000006</v>
      </c>
      <c r="L151" s="124"/>
      <c r="M151" s="124">
        <f t="shared" ca="1" si="159"/>
        <v>316050.00000000006</v>
      </c>
      <c r="N151" s="124">
        <f t="shared" ca="1" si="159"/>
        <v>-1441984.8509305154</v>
      </c>
      <c r="O151" s="124">
        <f t="shared" ca="1" si="159"/>
        <v>-1441984.8509305154</v>
      </c>
      <c r="P151" s="124">
        <f t="shared" ca="1" si="159"/>
        <v>-1441984.8509305154</v>
      </c>
      <c r="Q151" s="124">
        <f t="shared" ca="1" si="159"/>
        <v>-1441984.8509305154</v>
      </c>
      <c r="R151" s="124">
        <f t="shared" ca="1" si="159"/>
        <v>-1441984.8509305154</v>
      </c>
      <c r="S151" s="124">
        <f t="shared" ca="1" si="159"/>
        <v>-1441984.8509305154</v>
      </c>
      <c r="T151" s="124">
        <f t="shared" ca="1" si="159"/>
        <v>-1441984.8509305154</v>
      </c>
    </row>
    <row r="152" spans="2:20" x14ac:dyDescent="0.2">
      <c r="C152" s="110" t="s">
        <v>83</v>
      </c>
      <c r="E152" s="3"/>
      <c r="G152" s="29"/>
      <c r="H152" s="125"/>
      <c r="I152" s="125">
        <v>0</v>
      </c>
      <c r="J152" s="125"/>
      <c r="K152" s="125">
        <f ca="1">IF(I153&lt;0,-I153,0)</f>
        <v>0</v>
      </c>
      <c r="L152" s="125"/>
      <c r="M152" s="125">
        <f ca="1">IF(K153&lt;0,-K153,0)</f>
        <v>0</v>
      </c>
      <c r="N152" s="125">
        <f t="shared" ref="N152:T152" ca="1" si="160">IF(M153&lt;0,-M153,0)</f>
        <v>0</v>
      </c>
      <c r="O152" s="125">
        <f t="shared" ca="1" si="160"/>
        <v>0</v>
      </c>
      <c r="P152" s="125">
        <f t="shared" ca="1" si="160"/>
        <v>0</v>
      </c>
      <c r="Q152" s="125">
        <f t="shared" ca="1" si="160"/>
        <v>0</v>
      </c>
      <c r="R152" s="125">
        <f t="shared" ca="1" si="160"/>
        <v>0</v>
      </c>
      <c r="S152" s="125">
        <f t="shared" ca="1" si="160"/>
        <v>0</v>
      </c>
      <c r="T152" s="125">
        <f t="shared" ca="1" si="160"/>
        <v>0</v>
      </c>
    </row>
    <row r="153" spans="2:20" x14ac:dyDescent="0.2">
      <c r="C153" s="110" t="s">
        <v>84</v>
      </c>
      <c r="E153" s="3"/>
      <c r="G153" s="29"/>
      <c r="H153" s="126"/>
      <c r="I153" s="126">
        <f t="shared" ref="I153:T153" ca="1" si="161">IF(SUM(I134-I151-I152-I154)&lt;0,SUM(I134-I151-I152-I154),0)</f>
        <v>0</v>
      </c>
      <c r="J153" s="126"/>
      <c r="K153" s="126">
        <f t="shared" ca="1" si="161"/>
        <v>0</v>
      </c>
      <c r="L153" s="126"/>
      <c r="M153" s="126">
        <f t="shared" ca="1" si="161"/>
        <v>0</v>
      </c>
      <c r="N153" s="126">
        <f t="shared" ca="1" si="161"/>
        <v>0</v>
      </c>
      <c r="O153" s="126">
        <f t="shared" ca="1" si="161"/>
        <v>0</v>
      </c>
      <c r="P153" s="126">
        <f t="shared" ca="1" si="161"/>
        <v>0</v>
      </c>
      <c r="Q153" s="126">
        <f t="shared" ca="1" si="161"/>
        <v>0</v>
      </c>
      <c r="R153" s="126">
        <f t="shared" ca="1" si="161"/>
        <v>0</v>
      </c>
      <c r="S153" s="126">
        <f t="shared" ca="1" si="161"/>
        <v>0</v>
      </c>
      <c r="T153" s="126">
        <f t="shared" ca="1" si="161"/>
        <v>0</v>
      </c>
    </row>
    <row r="154" spans="2:20" x14ac:dyDescent="0.2">
      <c r="C154" s="109" t="s">
        <v>85</v>
      </c>
      <c r="E154" s="9">
        <v>0.7</v>
      </c>
      <c r="H154" s="127"/>
      <c r="I154" s="127">
        <f t="shared" ref="I154:T154" ca="1" si="162">IF(SUM(I134-I151-I152)*$E$154&gt;0,SUM(I134-I151-I152)*$E$154,0)</f>
        <v>910304.12228805304</v>
      </c>
      <c r="J154" s="127"/>
      <c r="K154" s="127">
        <f t="shared" ca="1" si="162"/>
        <v>1164820.0015082944</v>
      </c>
      <c r="L154" s="127"/>
      <c r="M154" s="127">
        <f t="shared" ca="1" si="162"/>
        <v>1404829.1296705522</v>
      </c>
      <c r="N154" s="127">
        <f t="shared" ca="1" si="162"/>
        <v>1414952.9511897182</v>
      </c>
      <c r="O154" s="127">
        <f t="shared" ca="1" si="162"/>
        <v>1475710.1678463756</v>
      </c>
      <c r="P154" s="127">
        <f t="shared" ca="1" si="162"/>
        <v>1538305.3934127323</v>
      </c>
      <c r="Q154" s="127">
        <f t="shared" ca="1" si="162"/>
        <v>1602793.92108018</v>
      </c>
      <c r="R154" s="127">
        <f t="shared" ca="1" si="162"/>
        <v>1669232.7043650916</v>
      </c>
      <c r="S154" s="127">
        <f t="shared" ca="1" si="162"/>
        <v>1737680.4069338667</v>
      </c>
      <c r="T154" s="127">
        <f t="shared" ca="1" si="162"/>
        <v>1808197.4539228736</v>
      </c>
    </row>
    <row r="155" spans="2:20" x14ac:dyDescent="0.2">
      <c r="D155" s="1" t="s">
        <v>87</v>
      </c>
      <c r="H155" s="124"/>
      <c r="I155" s="124">
        <f t="shared" ref="I155:T155" ca="1" si="163">SUM(I151:I154)</f>
        <v>1226354.1222880532</v>
      </c>
      <c r="J155" s="124"/>
      <c r="K155" s="124">
        <f t="shared" ca="1" si="163"/>
        <v>1480870.0015082944</v>
      </c>
      <c r="L155" s="124"/>
      <c r="M155" s="124">
        <f t="shared" ca="1" si="163"/>
        <v>1720879.1296705522</v>
      </c>
      <c r="N155" s="124">
        <f t="shared" ca="1" si="163"/>
        <v>-27031.899740797235</v>
      </c>
      <c r="O155" s="124">
        <f t="shared" ca="1" si="163"/>
        <v>33725.316915860167</v>
      </c>
      <c r="P155" s="124">
        <f t="shared" ca="1" si="163"/>
        <v>96320.542482216842</v>
      </c>
      <c r="Q155" s="124">
        <f t="shared" ca="1" si="163"/>
        <v>160809.07014966453</v>
      </c>
      <c r="R155" s="124">
        <f t="shared" ca="1" si="163"/>
        <v>227247.85343457619</v>
      </c>
      <c r="S155" s="124">
        <f t="shared" ca="1" si="163"/>
        <v>295695.55600335123</v>
      </c>
      <c r="T155" s="124">
        <f t="shared" ca="1" si="163"/>
        <v>366212.60299235815</v>
      </c>
    </row>
    <row r="156" spans="2:20" x14ac:dyDescent="0.2">
      <c r="H156" s="108"/>
      <c r="I156" s="108"/>
      <c r="J156" s="108"/>
      <c r="K156" s="108"/>
      <c r="L156" s="108"/>
      <c r="M156" s="108"/>
      <c r="N156" s="108"/>
      <c r="O156" s="108"/>
      <c r="P156" s="108"/>
      <c r="Q156" s="108"/>
      <c r="R156" s="108"/>
      <c r="S156" s="108"/>
      <c r="T156" s="108"/>
    </row>
    <row r="157" spans="2:20" x14ac:dyDescent="0.2">
      <c r="D157" s="135" t="s">
        <v>88</v>
      </c>
      <c r="E157" s="135"/>
      <c r="F157" s="135"/>
      <c r="G157" s="138"/>
      <c r="H157" s="139"/>
      <c r="I157" s="139">
        <f t="shared" ref="I157:T157" ca="1" si="164">I155/I111</f>
        <v>0.27161774580023323</v>
      </c>
      <c r="J157" s="139"/>
      <c r="K157" s="139">
        <f t="shared" ca="1" si="164"/>
        <v>0.32798892613694225</v>
      </c>
      <c r="L157" s="139"/>
      <c r="M157" s="139">
        <f ca="1">M155/M111</f>
        <v>0.38114709405770814</v>
      </c>
      <c r="N157" s="139">
        <f ca="1">N155/N111</f>
        <v>1.3122419286407518E-3</v>
      </c>
      <c r="O157" s="139">
        <f t="shared" ca="1" si="164"/>
        <v>-1.6371685060261219E-3</v>
      </c>
      <c r="P157" s="139">
        <f t="shared" ca="1" si="164"/>
        <v>-4.6758036115318912E-3</v>
      </c>
      <c r="Q157" s="139">
        <f t="shared" ca="1" si="164"/>
        <v>-7.8063475515797488E-3</v>
      </c>
      <c r="R157" s="139">
        <f t="shared" ca="1" si="164"/>
        <v>-1.1031565089019689E-2</v>
      </c>
      <c r="S157" s="139">
        <f t="shared" ca="1" si="164"/>
        <v>-1.4354304004565433E-2</v>
      </c>
      <c r="T157" s="139">
        <f t="shared" ca="1" si="164"/>
        <v>-1.7777497588079956E-2</v>
      </c>
    </row>
    <row r="158" spans="2:20" x14ac:dyDescent="0.2">
      <c r="D158" s="144"/>
      <c r="E158" s="144"/>
      <c r="F158" s="144"/>
      <c r="G158" s="146" t="s">
        <v>149</v>
      </c>
      <c r="H158" s="139"/>
      <c r="I158" s="139"/>
      <c r="J158" s="139"/>
      <c r="K158" s="139"/>
      <c r="L158" s="139"/>
      <c r="M158" s="139">
        <f ca="1">AVERAGE($I$157:M157)</f>
        <v>0.32691792199829456</v>
      </c>
      <c r="N158" s="139">
        <f ca="1">AVERAGE($I$157:N157)</f>
        <v>0.24551650198088112</v>
      </c>
      <c r="O158" s="139">
        <f ca="1">AVERAGE($I$157:O157)</f>
        <v>0.19608576788349968</v>
      </c>
      <c r="P158" s="139">
        <f ca="1">AVERAGE($I$157:P157)</f>
        <v>0.16262550596766109</v>
      </c>
      <c r="Q158" s="139">
        <f ca="1">AVERAGE($I$157:Q157)</f>
        <v>0.13827809832205526</v>
      </c>
      <c r="R158" s="139">
        <f ca="1">AVERAGE($I$157:R157)</f>
        <v>0.11961439039567089</v>
      </c>
      <c r="S158" s="139">
        <f ca="1">AVERAGE($I$157:S157)</f>
        <v>0.10472897990675574</v>
      </c>
      <c r="T158" s="139">
        <f ca="1">AVERAGE($I$157:T157)</f>
        <v>9.2478332157272164E-2</v>
      </c>
    </row>
    <row r="159" spans="2:20" x14ac:dyDescent="0.2">
      <c r="D159" s="120"/>
      <c r="E159" s="120"/>
      <c r="F159" s="120"/>
      <c r="G159" s="121"/>
      <c r="H159" s="122"/>
      <c r="I159" s="122"/>
      <c r="J159" s="122"/>
      <c r="K159" s="122"/>
      <c r="L159" s="122"/>
      <c r="M159" s="122"/>
      <c r="N159" s="122"/>
      <c r="O159" s="122"/>
      <c r="P159" s="122"/>
      <c r="Q159" s="122"/>
      <c r="R159" s="122"/>
      <c r="S159" s="122"/>
      <c r="T159" s="122"/>
    </row>
    <row r="160" spans="2:20" x14ac:dyDescent="0.2">
      <c r="C160" s="1" t="s">
        <v>144</v>
      </c>
      <c r="E160" s="180">
        <v>0.7</v>
      </c>
      <c r="H160" s="2"/>
      <c r="I160" s="2"/>
      <c r="J160" s="2"/>
      <c r="K160" s="2"/>
      <c r="L160" s="2"/>
      <c r="N160" s="2"/>
      <c r="O160" s="2"/>
      <c r="P160" s="2"/>
      <c r="Q160" s="2"/>
      <c r="R160" s="2"/>
      <c r="S160" s="2"/>
      <c r="T160" s="2"/>
    </row>
    <row r="161" spans="2:20" x14ac:dyDescent="0.2">
      <c r="D161" s="1" t="s">
        <v>92</v>
      </c>
      <c r="H161" s="2"/>
      <c r="I161" s="2"/>
      <c r="J161" s="2"/>
      <c r="K161" s="2"/>
      <c r="L161" s="2"/>
      <c r="M161" s="2"/>
      <c r="N161" s="2"/>
      <c r="O161" s="2">
        <f ca="1">IF(O136&gt;0,O136*$E$160,0)</f>
        <v>24483702.486476179</v>
      </c>
      <c r="P161" s="2"/>
      <c r="Q161" s="2"/>
      <c r="R161" s="2"/>
      <c r="S161" s="2"/>
      <c r="T161" s="2">
        <f ca="1">IF(T136&gt;0,T136*$E$160,0)</f>
        <v>34234891.976836145</v>
      </c>
    </row>
    <row r="162" spans="2:20" x14ac:dyDescent="0.2">
      <c r="D162" s="1" t="s">
        <v>85</v>
      </c>
      <c r="H162" s="2"/>
      <c r="I162" s="2">
        <f ca="1">I155</f>
        <v>1226354.1222880532</v>
      </c>
      <c r="J162" s="2"/>
      <c r="K162" s="2">
        <f t="shared" ref="K162:T162" ca="1" si="165">K155</f>
        <v>1480870.0015082944</v>
      </c>
      <c r="L162" s="2"/>
      <c r="M162" s="2">
        <f t="shared" ca="1" si="165"/>
        <v>1720879.1296705522</v>
      </c>
      <c r="N162" s="2">
        <f t="shared" ca="1" si="165"/>
        <v>-27031.899740797235</v>
      </c>
      <c r="O162" s="2">
        <f t="shared" ca="1" si="165"/>
        <v>33725.316915860167</v>
      </c>
      <c r="P162" s="2">
        <f t="shared" ca="1" si="165"/>
        <v>96320.542482216842</v>
      </c>
      <c r="Q162" s="2">
        <f t="shared" ca="1" si="165"/>
        <v>160809.07014966453</v>
      </c>
      <c r="R162" s="2">
        <f t="shared" ca="1" si="165"/>
        <v>227247.85343457619</v>
      </c>
      <c r="S162" s="2">
        <f t="shared" ca="1" si="165"/>
        <v>295695.55600335123</v>
      </c>
      <c r="T162" s="2">
        <f t="shared" ca="1" si="165"/>
        <v>366212.60299235815</v>
      </c>
    </row>
    <row r="163" spans="2:20" ht="15" x14ac:dyDescent="0.35">
      <c r="D163" s="1" t="s">
        <v>93</v>
      </c>
      <c r="G163" s="102">
        <f>-G111</f>
        <v>-4515000</v>
      </c>
      <c r="H163" s="123"/>
      <c r="I163" s="123">
        <v>0</v>
      </c>
      <c r="J163" s="123"/>
      <c r="K163" s="123">
        <v>0</v>
      </c>
      <c r="L163" s="123"/>
      <c r="M163" s="33">
        <f ca="1">M139</f>
        <v>25114783.584721647</v>
      </c>
      <c r="N163" s="33">
        <v>0</v>
      </c>
      <c r="O163" s="33">
        <f ca="1">O111</f>
        <v>-20599783.584721647</v>
      </c>
      <c r="P163" s="33">
        <v>0</v>
      </c>
      <c r="Q163" s="33">
        <v>0</v>
      </c>
      <c r="R163" s="33">
        <v>0</v>
      </c>
      <c r="S163" s="33">
        <v>0</v>
      </c>
      <c r="T163" s="33">
        <v>0</v>
      </c>
    </row>
    <row r="164" spans="2:20" x14ac:dyDescent="0.2">
      <c r="D164" s="1" t="s">
        <v>94</v>
      </c>
      <c r="G164" s="29">
        <f>SUM(G161:G163)</f>
        <v>-4515000</v>
      </c>
      <c r="H164" s="29"/>
      <c r="I164" s="29">
        <f t="shared" ref="I164:T164" ca="1" si="166">SUM(I161:I163)</f>
        <v>1226354.1222880532</v>
      </c>
      <c r="J164" s="29"/>
      <c r="K164" s="29">
        <f t="shared" ca="1" si="166"/>
        <v>1480870.0015082944</v>
      </c>
      <c r="L164" s="29"/>
      <c r="M164" s="29">
        <f t="shared" ca="1" si="166"/>
        <v>26835662.7143922</v>
      </c>
      <c r="N164" s="29">
        <f t="shared" ca="1" si="166"/>
        <v>-27031.899740797235</v>
      </c>
      <c r="O164" s="29">
        <f t="shared" ca="1" si="166"/>
        <v>3917644.2186703905</v>
      </c>
      <c r="P164" s="141">
        <f t="shared" ca="1" si="166"/>
        <v>96320.542482216842</v>
      </c>
      <c r="Q164" s="141">
        <f t="shared" ca="1" si="166"/>
        <v>160809.07014966453</v>
      </c>
      <c r="R164" s="141">
        <f t="shared" ca="1" si="166"/>
        <v>227247.85343457619</v>
      </c>
      <c r="S164" s="141">
        <f t="shared" ca="1" si="166"/>
        <v>295695.55600335123</v>
      </c>
      <c r="T164" s="141">
        <f t="shared" ca="1" si="166"/>
        <v>34601104.579828501</v>
      </c>
    </row>
    <row r="165" spans="2:20" x14ac:dyDescent="0.2">
      <c r="D165" s="135" t="s">
        <v>107</v>
      </c>
      <c r="E165" s="135"/>
      <c r="F165" s="135"/>
      <c r="G165" s="135"/>
      <c r="H165" s="135"/>
      <c r="I165" s="135"/>
      <c r="J165" s="135"/>
      <c r="K165" s="135"/>
      <c r="L165" s="135"/>
      <c r="M165" s="135"/>
      <c r="N165" s="135"/>
      <c r="O165" s="147">
        <f ca="1">IRR(G164:O164)</f>
        <v>0.99070148736550889</v>
      </c>
      <c r="P165" s="98"/>
      <c r="Q165" s="98"/>
      <c r="R165" s="98"/>
      <c r="S165" s="98"/>
      <c r="T165" s="98"/>
    </row>
    <row r="166" spans="2:20" x14ac:dyDescent="0.2">
      <c r="D166" s="144"/>
      <c r="E166" s="144"/>
      <c r="F166" s="144"/>
      <c r="G166" s="146">
        <f>G164</f>
        <v>-4515000</v>
      </c>
      <c r="H166" s="146"/>
      <c r="I166" s="146">
        <f t="shared" ref="I166:N166" ca="1" si="167">I164</f>
        <v>1226354.1222880532</v>
      </c>
      <c r="J166" s="146"/>
      <c r="K166" s="146">
        <f t="shared" ca="1" si="167"/>
        <v>1480870.0015082944</v>
      </c>
      <c r="L166" s="146"/>
      <c r="M166" s="146">
        <f t="shared" ca="1" si="167"/>
        <v>26835662.7143922</v>
      </c>
      <c r="N166" s="146">
        <f t="shared" ca="1" si="167"/>
        <v>-27031.899740797235</v>
      </c>
      <c r="O166" s="146">
        <f ca="1">O162</f>
        <v>33725.316915860167</v>
      </c>
      <c r="P166" s="146">
        <f ca="1">P162</f>
        <v>96320.542482216842</v>
      </c>
      <c r="Q166" s="146">
        <f ca="1">Q162</f>
        <v>160809.07014966453</v>
      </c>
      <c r="R166" s="146">
        <f ca="1">R162</f>
        <v>227247.85343457619</v>
      </c>
      <c r="S166" s="146">
        <f ca="1">S162</f>
        <v>295695.55600335123</v>
      </c>
      <c r="T166" s="2">
        <f ca="1">T162+T161+T111</f>
        <v>14001320.995106854</v>
      </c>
    </row>
    <row r="167" spans="2:20" x14ac:dyDescent="0.2">
      <c r="D167" s="135" t="s">
        <v>108</v>
      </c>
      <c r="E167" s="135"/>
      <c r="F167" s="135"/>
      <c r="G167" s="135"/>
      <c r="H167" s="135"/>
      <c r="I167" s="135"/>
      <c r="J167" s="135"/>
      <c r="K167" s="135"/>
      <c r="L167" s="135"/>
      <c r="M167" s="135"/>
      <c r="N167" s="135"/>
      <c r="O167" s="135"/>
      <c r="P167" s="135"/>
      <c r="Q167" s="147"/>
      <c r="R167" s="147"/>
      <c r="S167" s="147"/>
      <c r="T167" s="147">
        <f ca="1">IRR(G166:T166)</f>
        <v>0.97311760577912709</v>
      </c>
    </row>
    <row r="168" spans="2:20" hidden="1" x14ac:dyDescent="0.2">
      <c r="D168" s="144"/>
      <c r="E168" s="144"/>
      <c r="F168" s="144"/>
      <c r="G168" s="144"/>
      <c r="H168" s="145"/>
      <c r="I168" s="145"/>
      <c r="J168" s="145"/>
      <c r="K168" s="145"/>
      <c r="L168" s="145"/>
      <c r="M168" s="145"/>
      <c r="O168" s="98"/>
      <c r="P168" s="98"/>
      <c r="Q168" s="98"/>
      <c r="R168" s="98"/>
      <c r="S168" s="98"/>
      <c r="T168" s="98"/>
    </row>
    <row r="169" spans="2:20" hidden="1" x14ac:dyDescent="0.2">
      <c r="C169" s="1" t="s">
        <v>80</v>
      </c>
      <c r="H169" s="98"/>
      <c r="I169" s="98"/>
      <c r="J169" s="98"/>
      <c r="K169" s="98"/>
      <c r="L169" s="98"/>
      <c r="M169" s="98"/>
      <c r="N169" s="98"/>
      <c r="O169" s="98"/>
      <c r="P169" s="98"/>
      <c r="Q169" s="98"/>
      <c r="R169" s="98"/>
      <c r="S169" s="98"/>
      <c r="T169" s="98"/>
    </row>
    <row r="170" spans="2:20" hidden="1" x14ac:dyDescent="0.2">
      <c r="D170" s="1" t="s">
        <v>75</v>
      </c>
      <c r="E170" s="9">
        <v>1</v>
      </c>
      <c r="H170" s="2"/>
      <c r="I170" s="2"/>
      <c r="J170" s="2"/>
      <c r="K170" s="2"/>
      <c r="L170" s="2"/>
      <c r="M170" s="2">
        <f t="shared" ref="M170:T170" ca="1" si="168">IF(M139&gt;0,M139*$E$170,0)</f>
        <v>25114783.584721647</v>
      </c>
      <c r="N170" s="140">
        <f t="shared" si="168"/>
        <v>0</v>
      </c>
      <c r="O170" s="140">
        <f t="shared" si="168"/>
        <v>0</v>
      </c>
      <c r="P170" s="140">
        <f t="shared" si="168"/>
        <v>0</v>
      </c>
      <c r="Q170" s="140">
        <f t="shared" si="168"/>
        <v>0</v>
      </c>
      <c r="R170" s="140">
        <f t="shared" si="168"/>
        <v>0</v>
      </c>
      <c r="S170" s="140">
        <f t="shared" si="168"/>
        <v>0</v>
      </c>
      <c r="T170" s="140">
        <f t="shared" si="168"/>
        <v>0</v>
      </c>
    </row>
    <row r="171" spans="2:20" hidden="1" x14ac:dyDescent="0.2">
      <c r="D171" s="1" t="s">
        <v>13</v>
      </c>
      <c r="G171" s="29">
        <f>G163</f>
        <v>-4515000</v>
      </c>
      <c r="H171" s="2"/>
      <c r="I171" s="2">
        <f>-$G$171-I170</f>
        <v>4515000</v>
      </c>
      <c r="J171" s="2"/>
      <c r="K171" s="2">
        <f>-$G$171-K170</f>
        <v>4515000</v>
      </c>
      <c r="L171" s="2"/>
      <c r="M171" s="2">
        <f ca="1">-$G$171-M170</f>
        <v>-20599783.584721647</v>
      </c>
      <c r="N171" s="2">
        <f ca="1">M171</f>
        <v>-20599783.584721647</v>
      </c>
      <c r="O171" s="2">
        <f t="shared" ref="O171:T171" ca="1" si="169">N171</f>
        <v>-20599783.584721647</v>
      </c>
      <c r="P171" s="2">
        <f t="shared" ca="1" si="169"/>
        <v>-20599783.584721647</v>
      </c>
      <c r="Q171" s="2">
        <f t="shared" ca="1" si="169"/>
        <v>-20599783.584721647</v>
      </c>
      <c r="R171" s="2">
        <f t="shared" ca="1" si="169"/>
        <v>-20599783.584721647</v>
      </c>
      <c r="S171" s="2">
        <f t="shared" ca="1" si="169"/>
        <v>-20599783.584721647</v>
      </c>
      <c r="T171" s="2">
        <f t="shared" ca="1" si="169"/>
        <v>-20599783.584721647</v>
      </c>
    </row>
    <row r="172" spans="2:20" hidden="1" x14ac:dyDescent="0.2">
      <c r="D172" s="135" t="s">
        <v>95</v>
      </c>
      <c r="E172" s="135"/>
      <c r="F172" s="135"/>
      <c r="G172" s="136"/>
      <c r="H172" s="139"/>
      <c r="I172" s="139">
        <f ca="1">I155/I171</f>
        <v>0.27161774580023323</v>
      </c>
      <c r="J172" s="139"/>
      <c r="K172" s="139">
        <f ca="1">K155/K171</f>
        <v>0.32798892613694225</v>
      </c>
      <c r="L172" s="139"/>
      <c r="M172" s="139">
        <f ca="1">M155/M171</f>
        <v>-8.353869945249745E-2</v>
      </c>
      <c r="N172" s="139">
        <f t="shared" ref="N172:S172" ca="1" si="170">((N91-$M$146)*$E$154)/N171</f>
        <v>-3.6317400958775378E-2</v>
      </c>
      <c r="O172" s="139">
        <f t="shared" ca="1" si="170"/>
        <v>-3.9363569491096685E-2</v>
      </c>
      <c r="P172" s="139">
        <f t="shared" ca="1" si="170"/>
        <v>-4.2501865437186495E-2</v>
      </c>
      <c r="Q172" s="139">
        <f t="shared" ca="1" si="170"/>
        <v>-4.5735060043035916E-2</v>
      </c>
      <c r="R172" s="139">
        <f t="shared" ca="1" si="170"/>
        <v>-4.9066007766251467E-2</v>
      </c>
      <c r="S172" s="139">
        <f t="shared" ca="1" si="170"/>
        <v>-5.2497648773146083E-2</v>
      </c>
      <c r="T172" s="139"/>
    </row>
    <row r="173" spans="2:20" x14ac:dyDescent="0.2"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</row>
    <row r="174" spans="2:20" x14ac:dyDescent="0.2">
      <c r="B174" s="115" t="s">
        <v>73</v>
      </c>
      <c r="C174" s="115"/>
      <c r="D174" s="115"/>
      <c r="E174" s="115"/>
      <c r="F174" s="115"/>
      <c r="G174" s="115"/>
      <c r="H174" s="115"/>
      <c r="I174" s="115"/>
      <c r="J174" s="115"/>
      <c r="K174" s="115"/>
      <c r="L174" s="115"/>
      <c r="M174" s="115"/>
      <c r="N174" s="115"/>
      <c r="O174" s="115"/>
      <c r="P174" s="115"/>
      <c r="Q174" s="115"/>
      <c r="R174" s="115"/>
      <c r="S174" s="115"/>
      <c r="T174" s="115"/>
    </row>
    <row r="175" spans="2:20" x14ac:dyDescent="0.2">
      <c r="C175" s="110" t="s">
        <v>86</v>
      </c>
      <c r="E175" s="9">
        <v>0.03</v>
      </c>
      <c r="H175" s="128"/>
      <c r="I175" s="128">
        <f>E175*G105</f>
        <v>204000</v>
      </c>
      <c r="J175" s="128"/>
      <c r="K175" s="128"/>
      <c r="L175" s="128"/>
      <c r="M175" s="128"/>
      <c r="N175" s="128"/>
      <c r="O175" s="128"/>
      <c r="P175" s="128"/>
      <c r="Q175" s="128"/>
      <c r="R175" s="128"/>
      <c r="S175" s="128"/>
      <c r="T175" s="128"/>
    </row>
    <row r="176" spans="2:20" x14ac:dyDescent="0.2">
      <c r="C176" s="111" t="s">
        <v>82</v>
      </c>
      <c r="H176" s="131"/>
      <c r="I176" s="131">
        <f>Analysis!I133</f>
        <v>74757.517800000001</v>
      </c>
      <c r="J176" s="131"/>
      <c r="K176" s="131">
        <f>Analysis!K133</f>
        <v>83308.163333999997</v>
      </c>
      <c r="L176" s="131"/>
      <c r="M176" s="131">
        <f>Analysis!M133</f>
        <v>91243.573546019994</v>
      </c>
      <c r="N176" s="131">
        <f>Analysis!N133</f>
        <v>94914.089130960609</v>
      </c>
      <c r="O176" s="131">
        <f>Analysis!O133</f>
        <v>97761.511804889436</v>
      </c>
      <c r="P176" s="131">
        <f>Analysis!P133</f>
        <v>100694.35715903612</v>
      </c>
      <c r="Q176" s="131">
        <f>Analysis!Q133</f>
        <v>103715.18787380721</v>
      </c>
      <c r="R176" s="131">
        <f>Analysis!R133</f>
        <v>106826.64351002141</v>
      </c>
      <c r="S176" s="131">
        <f>Analysis!S133</f>
        <v>110031.44281532208</v>
      </c>
      <c r="T176" s="131">
        <f>Analysis!T133</f>
        <v>113332.38609978172</v>
      </c>
    </row>
    <row r="177" spans="3:20" x14ac:dyDescent="0.2">
      <c r="C177" s="110" t="s">
        <v>85</v>
      </c>
      <c r="E177" s="9">
        <f>1-E154</f>
        <v>0.30000000000000004</v>
      </c>
      <c r="H177" s="129"/>
      <c r="I177" s="129">
        <f t="shared" ref="I177:T177" ca="1" si="171">SUM(I134-I151-I153-I152-I154)</f>
        <v>390130.33812345134</v>
      </c>
      <c r="J177" s="129"/>
      <c r="K177" s="129">
        <f t="shared" ca="1" si="171"/>
        <v>499208.5720749835</v>
      </c>
      <c r="L177" s="129"/>
      <c r="M177" s="129">
        <f t="shared" ca="1" si="171"/>
        <v>602069.6270016653</v>
      </c>
      <c r="N177" s="129">
        <f t="shared" ca="1" si="171"/>
        <v>606408.40765273641</v>
      </c>
      <c r="O177" s="129">
        <f t="shared" ca="1" si="171"/>
        <v>632447.21479130397</v>
      </c>
      <c r="P177" s="129">
        <f t="shared" ca="1" si="171"/>
        <v>659273.74003402819</v>
      </c>
      <c r="Q177" s="129">
        <f t="shared" ca="1" si="171"/>
        <v>686911.68046293454</v>
      </c>
      <c r="R177" s="129">
        <f t="shared" ca="1" si="171"/>
        <v>715385.44472789648</v>
      </c>
      <c r="S177" s="129">
        <f t="shared" ca="1" si="171"/>
        <v>744720.17440022877</v>
      </c>
      <c r="T177" s="129">
        <f t="shared" ca="1" si="171"/>
        <v>774941.76596694603</v>
      </c>
    </row>
    <row r="178" spans="3:20" x14ac:dyDescent="0.2">
      <c r="C178" s="110"/>
      <c r="D178" s="135" t="s">
        <v>97</v>
      </c>
      <c r="E178" s="136"/>
      <c r="F178" s="135"/>
      <c r="G178" s="135"/>
      <c r="H178" s="137"/>
      <c r="I178" s="137">
        <f ca="1">SUM(I175:I177)</f>
        <v>668887.85592345137</v>
      </c>
      <c r="J178" s="137"/>
      <c r="K178" s="137">
        <f t="shared" ref="K178:T178" ca="1" si="172">SUM(K175:K177)</f>
        <v>582516.73540898354</v>
      </c>
      <c r="L178" s="137"/>
      <c r="M178" s="137">
        <f t="shared" ca="1" si="172"/>
        <v>693313.20054768526</v>
      </c>
      <c r="N178" s="137">
        <f t="shared" ca="1" si="172"/>
        <v>701322.49678369705</v>
      </c>
      <c r="O178" s="137">
        <f t="shared" ca="1" si="172"/>
        <v>730208.72659619339</v>
      </c>
      <c r="P178" s="137">
        <f t="shared" ca="1" si="172"/>
        <v>759968.09719306428</v>
      </c>
      <c r="Q178" s="137">
        <f t="shared" ca="1" si="172"/>
        <v>790626.86833674181</v>
      </c>
      <c r="R178" s="137">
        <f t="shared" ca="1" si="172"/>
        <v>822212.08823791787</v>
      </c>
      <c r="S178" s="137">
        <f t="shared" ca="1" si="172"/>
        <v>854751.61721555085</v>
      </c>
      <c r="T178" s="137">
        <f t="shared" ca="1" si="172"/>
        <v>888274.15206672775</v>
      </c>
    </row>
    <row r="179" spans="3:20" x14ac:dyDescent="0.2">
      <c r="C179" s="110"/>
      <c r="E179" s="3"/>
      <c r="H179" s="130"/>
      <c r="I179" s="130"/>
      <c r="J179" s="130"/>
      <c r="K179" s="130"/>
      <c r="L179" s="130"/>
      <c r="M179" s="130"/>
      <c r="N179" s="130"/>
      <c r="O179" s="130"/>
      <c r="P179" s="130"/>
      <c r="Q179" s="130"/>
      <c r="R179" s="130"/>
      <c r="S179" s="130"/>
      <c r="T179" s="130"/>
    </row>
    <row r="180" spans="3:20" x14ac:dyDescent="0.2">
      <c r="C180" s="110"/>
      <c r="D180" s="181" t="s">
        <v>145</v>
      </c>
      <c r="E180" s="182"/>
      <c r="F180" s="181"/>
      <c r="G180" s="181"/>
      <c r="H180" s="137"/>
      <c r="I180" s="137"/>
      <c r="J180" s="137"/>
      <c r="K180" s="137"/>
      <c r="L180" s="137"/>
      <c r="M180" s="137"/>
      <c r="N180" s="137"/>
      <c r="O180" s="137">
        <f ca="1">O136*(1-$E$160)</f>
        <v>10493015.351346936</v>
      </c>
      <c r="P180" s="130"/>
      <c r="Q180" s="130"/>
      <c r="R180" s="130"/>
      <c r="S180" s="130"/>
      <c r="T180" s="130"/>
    </row>
    <row r="181" spans="3:20" x14ac:dyDescent="0.2">
      <c r="D181" s="181" t="s">
        <v>146</v>
      </c>
      <c r="E181" s="181"/>
      <c r="F181" s="181"/>
      <c r="G181" s="181"/>
      <c r="H181" s="181"/>
      <c r="I181" s="181"/>
      <c r="J181" s="181"/>
      <c r="K181" s="181"/>
      <c r="L181" s="181"/>
      <c r="M181" s="181"/>
      <c r="N181" s="181"/>
      <c r="O181" s="181"/>
      <c r="P181" s="181"/>
      <c r="Q181" s="181"/>
      <c r="R181" s="181"/>
      <c r="S181" s="181"/>
      <c r="T181" s="183">
        <f ca="1">T136*(1-E160)</f>
        <v>14672096.561501209</v>
      </c>
    </row>
    <row r="182" spans="3:20" x14ac:dyDescent="0.2">
      <c r="O182" s="185"/>
      <c r="T182" s="185"/>
    </row>
    <row r="183" spans="3:20" s="143" customFormat="1" x14ac:dyDescent="0.2">
      <c r="D183" s="1" t="s">
        <v>241</v>
      </c>
      <c r="E183" s="333">
        <v>1000000</v>
      </c>
      <c r="I183" s="141">
        <f>I175*E184</f>
        <v>10200</v>
      </c>
      <c r="J183" s="334">
        <f>I183/G21</f>
        <v>25.185185185185187</v>
      </c>
      <c r="K183" s="141">
        <f>G111*0.3*0.05</f>
        <v>67725</v>
      </c>
      <c r="L183" s="141"/>
      <c r="M183" s="141"/>
      <c r="N183" s="141"/>
      <c r="O183" s="141"/>
    </row>
    <row r="184" spans="3:20" s="143" customFormat="1" x14ac:dyDescent="0.2">
      <c r="E184" s="142">
        <v>0.05</v>
      </c>
      <c r="I184" s="334">
        <f ca="1">I177*$E$175</f>
        <v>11703.910143703539</v>
      </c>
      <c r="J184" s="334">
        <f t="shared" ref="J184:T184" si="173">J177*$E$175</f>
        <v>0</v>
      </c>
      <c r="K184" s="334">
        <f t="shared" ca="1" si="173"/>
        <v>14976.257162249505</v>
      </c>
      <c r="L184" s="334">
        <f t="shared" si="173"/>
        <v>0</v>
      </c>
      <c r="M184" s="334">
        <f t="shared" ca="1" si="173"/>
        <v>18062.088810049958</v>
      </c>
      <c r="N184" s="334">
        <f t="shared" ca="1" si="173"/>
        <v>18192.252229582093</v>
      </c>
      <c r="O184" s="334">
        <f t="shared" ca="1" si="173"/>
        <v>18973.416443739119</v>
      </c>
      <c r="P184" s="334">
        <f t="shared" ca="1" si="173"/>
        <v>19778.212201020844</v>
      </c>
      <c r="Q184" s="334">
        <f t="shared" ca="1" si="173"/>
        <v>20607.350413888034</v>
      </c>
      <c r="R184" s="334">
        <f t="shared" ca="1" si="173"/>
        <v>21461.563341836893</v>
      </c>
      <c r="S184" s="334">
        <f t="shared" ca="1" si="173"/>
        <v>22341.605232006863</v>
      </c>
      <c r="T184" s="334">
        <f t="shared" ca="1" si="173"/>
        <v>23248.252979008379</v>
      </c>
    </row>
    <row r="185" spans="3:20" s="143" customFormat="1" x14ac:dyDescent="0.2">
      <c r="H185" s="334"/>
      <c r="I185" s="334"/>
      <c r="J185" s="334"/>
      <c r="K185" s="334"/>
      <c r="L185" s="334"/>
      <c r="M185" s="334"/>
      <c r="N185" s="334"/>
      <c r="O185" s="334">
        <f ca="1">O180*E184</f>
        <v>524650.7675673468</v>
      </c>
      <c r="T185" s="334">
        <f ca="1">T181*E184</f>
        <v>733604.8280750605</v>
      </c>
    </row>
    <row r="186" spans="3:20" s="143" customFormat="1" x14ac:dyDescent="0.2">
      <c r="E186" s="141">
        <f ca="1">SUM(I183:O185)</f>
        <v>684508.87754185614</v>
      </c>
      <c r="K186" s="334"/>
      <c r="L186" s="334"/>
      <c r="M186" s="334"/>
      <c r="N186" s="334"/>
    </row>
    <row r="187" spans="3:20" s="143" customFormat="1" x14ac:dyDescent="0.2">
      <c r="D187" s="143" t="s">
        <v>237</v>
      </c>
      <c r="E187" s="141">
        <f ca="1">SUM(I183:T184)+T185</f>
        <v>1000899.9222173309</v>
      </c>
      <c r="I187" s="335">
        <f>I175/-G163</f>
        <v>4.5182724252491695E-2</v>
      </c>
    </row>
    <row r="188" spans="3:20" s="143" customFormat="1" x14ac:dyDescent="0.2"/>
    <row r="189" spans="3:20" s="143" customFormat="1" x14ac:dyDescent="0.2"/>
    <row r="190" spans="3:20" s="143" customFormat="1" x14ac:dyDescent="0.2"/>
    <row r="191" spans="3:20" s="143" customFormat="1" x14ac:dyDescent="0.2"/>
    <row r="192" spans="3:20" s="143" customFormat="1" x14ac:dyDescent="0.2"/>
    <row r="193" spans="9:9" s="143" customFormat="1" x14ac:dyDescent="0.2">
      <c r="I193" s="334">
        <f>J183*1000</f>
        <v>25185.185185185186</v>
      </c>
    </row>
  </sheetData>
  <mergeCells count="6">
    <mergeCell ref="AE69:AF69"/>
    <mergeCell ref="Y70:Z70"/>
    <mergeCell ref="K63:T63"/>
    <mergeCell ref="X69:Z69"/>
    <mergeCell ref="AA69:AB69"/>
    <mergeCell ref="AC69:AD69"/>
  </mergeCells>
  <pageMargins left="0" right="0" top="0" bottom="0" header="0.3" footer="0.3"/>
  <pageSetup scale="57" fitToHeight="0" orientation="landscape" r:id="rId1"/>
  <headerFooter>
    <oddHeader>&amp;R&amp;F</oddHeader>
    <oddFooter>&amp;L&amp;D,&amp;T&amp;RPage &amp;P of &amp;N</oddFooter>
  </headerFooter>
  <rowBreaks count="2" manualBreakCount="2">
    <brk id="91" max="16" man="1"/>
    <brk id="129" max="17" man="1"/>
  </rowBreaks>
  <customProperties>
    <customPr name="SSC_SHEET_GUID" r:id="rId2"/>
  </customProperties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33"/>
  <sheetViews>
    <sheetView showGridLines="0" workbookViewId="0">
      <selection activeCell="H33" sqref="H33"/>
    </sheetView>
  </sheetViews>
  <sheetFormatPr defaultColWidth="8.85546875" defaultRowHeight="15" x14ac:dyDescent="0.25"/>
  <cols>
    <col min="2" max="2" width="6.28515625" customWidth="1"/>
    <col min="3" max="3" width="46.7109375" bestFit="1" customWidth="1"/>
    <col min="4" max="4" width="7.85546875" bestFit="1" customWidth="1"/>
    <col min="5" max="5" width="4.140625" customWidth="1"/>
    <col min="6" max="6" width="15.42578125" bestFit="1" customWidth="1"/>
    <col min="7" max="7" width="3.7109375" customWidth="1"/>
    <col min="8" max="8" width="19.85546875" bestFit="1" customWidth="1"/>
    <col min="9" max="9" width="4.42578125" customWidth="1"/>
  </cols>
  <sheetData>
    <row r="1" spans="2:9" ht="29.25" customHeight="1" thickBot="1" x14ac:dyDescent="0.3">
      <c r="B1" s="36" t="str">
        <f>Analysis!B1</f>
        <v>The Arbors, Maple Shade, NJ</v>
      </c>
      <c r="C1" s="37"/>
      <c r="D1" s="38"/>
      <c r="E1" s="38"/>
      <c r="F1" s="38"/>
      <c r="G1" s="38"/>
      <c r="H1" s="38"/>
      <c r="I1" s="38"/>
    </row>
    <row r="2" spans="2:9" ht="18.75" customHeight="1" x14ac:dyDescent="0.25">
      <c r="B2" s="179"/>
      <c r="C2" s="41"/>
      <c r="D2" s="44"/>
      <c r="E2" s="44"/>
      <c r="F2" s="44"/>
      <c r="G2" s="44"/>
      <c r="H2" s="44"/>
      <c r="I2" s="44"/>
    </row>
    <row r="3" spans="2:9" ht="18" x14ac:dyDescent="0.25">
      <c r="B3" s="148" t="s">
        <v>135</v>
      </c>
      <c r="C3" s="160"/>
      <c r="D3" s="160" t="s">
        <v>136</v>
      </c>
      <c r="E3" s="160"/>
      <c r="F3" s="161" t="s">
        <v>137</v>
      </c>
      <c r="G3" s="161"/>
      <c r="H3" s="162" t="s">
        <v>138</v>
      </c>
    </row>
    <row r="4" spans="2:9" ht="18" x14ac:dyDescent="0.25">
      <c r="B4" s="163"/>
      <c r="C4" s="164"/>
      <c r="D4" s="164"/>
      <c r="E4" s="164"/>
      <c r="F4" s="165"/>
      <c r="G4" s="165"/>
      <c r="H4" s="166"/>
    </row>
    <row r="5" spans="2:9" x14ac:dyDescent="0.25">
      <c r="B5" s="167" t="s">
        <v>167</v>
      </c>
      <c r="C5" s="167"/>
      <c r="D5" s="168"/>
      <c r="E5" s="168"/>
      <c r="F5" s="169"/>
      <c r="G5" s="169"/>
      <c r="H5" s="174"/>
    </row>
    <row r="6" spans="2:9" x14ac:dyDescent="0.25">
      <c r="C6" s="170" t="s">
        <v>171</v>
      </c>
      <c r="D6" s="186">
        <v>36</v>
      </c>
      <c r="E6" s="171"/>
      <c r="F6" s="172">
        <v>1400</v>
      </c>
      <c r="G6" s="172"/>
      <c r="H6" s="175">
        <f>F6*D6</f>
        <v>50400</v>
      </c>
    </row>
    <row r="7" spans="2:9" x14ac:dyDescent="0.25">
      <c r="C7" s="170" t="s">
        <v>172</v>
      </c>
      <c r="D7" s="186">
        <v>26</v>
      </c>
      <c r="E7" s="171"/>
      <c r="F7" s="172">
        <v>750</v>
      </c>
      <c r="G7" s="172"/>
      <c r="H7" s="175">
        <f>F7*D7</f>
        <v>19500</v>
      </c>
    </row>
    <row r="8" spans="2:9" x14ac:dyDescent="0.25">
      <c r="C8" s="170" t="s">
        <v>238</v>
      </c>
      <c r="D8" s="186">
        <v>36</v>
      </c>
      <c r="E8" s="171"/>
      <c r="F8" s="172">
        <v>700</v>
      </c>
      <c r="G8" s="172"/>
      <c r="H8" s="175">
        <f>F8*D8</f>
        <v>25200</v>
      </c>
    </row>
    <row r="9" spans="2:9" x14ac:dyDescent="0.25">
      <c r="C9" s="170" t="s">
        <v>173</v>
      </c>
      <c r="D9" s="186">
        <v>36</v>
      </c>
      <c r="E9" s="171"/>
      <c r="F9" s="172">
        <v>200</v>
      </c>
      <c r="G9" s="172"/>
      <c r="H9" s="175">
        <f t="shared" ref="H9:H11" si="0">F9*D9</f>
        <v>7200</v>
      </c>
    </row>
    <row r="10" spans="2:9" x14ac:dyDescent="0.25">
      <c r="C10" s="170" t="s">
        <v>239</v>
      </c>
      <c r="D10" s="186">
        <v>36</v>
      </c>
      <c r="E10" s="171"/>
      <c r="F10" s="172">
        <v>25</v>
      </c>
      <c r="G10" s="172"/>
      <c r="H10" s="175">
        <f t="shared" si="0"/>
        <v>900</v>
      </c>
    </row>
    <row r="11" spans="2:9" x14ac:dyDescent="0.25">
      <c r="C11" s="170" t="s">
        <v>240</v>
      </c>
      <c r="D11" s="186">
        <v>36</v>
      </c>
      <c r="E11" s="171"/>
      <c r="F11" s="172">
        <v>100</v>
      </c>
      <c r="G11" s="172"/>
      <c r="H11" s="175">
        <f t="shared" si="0"/>
        <v>3600</v>
      </c>
    </row>
    <row r="12" spans="2:9" x14ac:dyDescent="0.25">
      <c r="C12" s="170"/>
      <c r="D12" s="186"/>
      <c r="E12" s="171"/>
      <c r="F12" s="172"/>
      <c r="G12" s="172"/>
      <c r="H12" s="175"/>
    </row>
    <row r="13" spans="2:9" x14ac:dyDescent="0.25">
      <c r="C13" s="170"/>
      <c r="D13" s="186"/>
      <c r="E13" s="171"/>
      <c r="F13" s="172"/>
      <c r="G13" s="172"/>
      <c r="H13" s="175">
        <f>SUM(H6:H11)</f>
        <v>106800</v>
      </c>
    </row>
    <row r="14" spans="2:9" x14ac:dyDescent="0.25">
      <c r="B14" s="167" t="s">
        <v>168</v>
      </c>
      <c r="C14" s="167"/>
      <c r="D14" s="187"/>
      <c r="E14" s="168"/>
      <c r="F14" s="169"/>
      <c r="G14" s="169"/>
      <c r="H14" s="176"/>
    </row>
    <row r="15" spans="2:9" x14ac:dyDescent="0.25">
      <c r="C15" s="170" t="s">
        <v>171</v>
      </c>
      <c r="D15" s="186">
        <v>138</v>
      </c>
      <c r="E15" s="171"/>
      <c r="F15" s="172">
        <v>1400</v>
      </c>
      <c r="G15" s="172"/>
      <c r="H15" s="175">
        <f>F15*D15</f>
        <v>193200</v>
      </c>
    </row>
    <row r="16" spans="2:9" x14ac:dyDescent="0.25">
      <c r="C16" s="170" t="s">
        <v>172</v>
      </c>
      <c r="D16" s="186">
        <v>100</v>
      </c>
      <c r="E16" s="171"/>
      <c r="F16" s="172">
        <v>850</v>
      </c>
      <c r="G16" s="172"/>
      <c r="H16" s="175">
        <f>F16*D16</f>
        <v>85000</v>
      </c>
    </row>
    <row r="17" spans="2:8" x14ac:dyDescent="0.25">
      <c r="C17" s="170" t="s">
        <v>238</v>
      </c>
      <c r="D17" s="186">
        <v>138</v>
      </c>
      <c r="E17" s="171"/>
      <c r="F17" s="172">
        <v>800</v>
      </c>
      <c r="G17" s="172"/>
      <c r="H17" s="175">
        <f>F17*D17</f>
        <v>110400</v>
      </c>
    </row>
    <row r="18" spans="2:8" x14ac:dyDescent="0.25">
      <c r="C18" s="170" t="s">
        <v>173</v>
      </c>
      <c r="D18" s="186">
        <v>138</v>
      </c>
      <c r="E18" s="171"/>
      <c r="F18" s="172">
        <v>250</v>
      </c>
      <c r="G18" s="172"/>
      <c r="H18" s="175">
        <f t="shared" ref="H18:H20" si="1">F18*D18</f>
        <v>34500</v>
      </c>
    </row>
    <row r="19" spans="2:8" x14ac:dyDescent="0.25">
      <c r="C19" s="170" t="s">
        <v>239</v>
      </c>
      <c r="D19" s="186">
        <v>138</v>
      </c>
      <c r="E19" s="171"/>
      <c r="F19" s="172">
        <v>25</v>
      </c>
      <c r="G19" s="172"/>
      <c r="H19" s="175">
        <f t="shared" si="1"/>
        <v>3450</v>
      </c>
    </row>
    <row r="20" spans="2:8" x14ac:dyDescent="0.25">
      <c r="C20" s="170" t="s">
        <v>240</v>
      </c>
      <c r="D20" s="186">
        <v>138</v>
      </c>
      <c r="E20" s="171"/>
      <c r="F20" s="172">
        <v>100</v>
      </c>
      <c r="G20" s="172"/>
      <c r="H20" s="175">
        <f t="shared" si="1"/>
        <v>13800</v>
      </c>
    </row>
    <row r="21" spans="2:8" x14ac:dyDescent="0.25">
      <c r="C21" s="170"/>
      <c r="D21" s="186"/>
      <c r="E21" s="171"/>
      <c r="F21" s="172"/>
      <c r="G21" s="172"/>
      <c r="H21" s="175"/>
    </row>
    <row r="22" spans="2:8" x14ac:dyDescent="0.25">
      <c r="C22" s="170"/>
      <c r="D22" s="186"/>
      <c r="E22" s="171"/>
      <c r="F22" s="172"/>
      <c r="G22" s="172"/>
      <c r="H22" s="175">
        <f>SUM(H15:H20)</f>
        <v>440350</v>
      </c>
    </row>
    <row r="23" spans="2:8" x14ac:dyDescent="0.25">
      <c r="B23" s="167" t="s">
        <v>169</v>
      </c>
      <c r="C23" s="150"/>
      <c r="D23" s="150"/>
      <c r="E23" s="150"/>
      <c r="F23" s="150"/>
      <c r="G23" s="150"/>
      <c r="H23" s="177"/>
    </row>
    <row r="24" spans="2:8" x14ac:dyDescent="0.25">
      <c r="C24" s="170" t="s">
        <v>170</v>
      </c>
      <c r="D24" s="186"/>
      <c r="E24" s="171"/>
      <c r="F24" s="172">
        <v>150000</v>
      </c>
      <c r="G24" s="172"/>
      <c r="H24" s="175">
        <f>F24</f>
        <v>150000</v>
      </c>
    </row>
    <row r="25" spans="2:8" x14ac:dyDescent="0.25">
      <c r="C25" s="170" t="s">
        <v>174</v>
      </c>
      <c r="D25" s="186"/>
      <c r="E25" s="171"/>
      <c r="F25" s="172">
        <v>24000</v>
      </c>
      <c r="G25" s="172"/>
      <c r="H25" s="175">
        <f t="shared" ref="H25:H30" si="2">F25</f>
        <v>24000</v>
      </c>
    </row>
    <row r="26" spans="2:8" x14ac:dyDescent="0.25">
      <c r="C26" s="170" t="s">
        <v>235</v>
      </c>
      <c r="D26" s="186"/>
      <c r="E26" s="171"/>
      <c r="F26" s="172">
        <v>15000</v>
      </c>
      <c r="G26" s="172"/>
      <c r="H26" s="175">
        <f t="shared" si="2"/>
        <v>15000</v>
      </c>
    </row>
    <row r="27" spans="2:8" x14ac:dyDescent="0.25">
      <c r="C27" s="170" t="s">
        <v>175</v>
      </c>
      <c r="D27" s="186"/>
      <c r="E27" s="171"/>
      <c r="F27" s="172">
        <v>5500</v>
      </c>
      <c r="G27" s="172"/>
      <c r="H27" s="175">
        <f t="shared" si="2"/>
        <v>5500</v>
      </c>
    </row>
    <row r="28" spans="2:8" x14ac:dyDescent="0.25">
      <c r="C28" s="170" t="s">
        <v>176</v>
      </c>
      <c r="D28" s="186"/>
      <c r="E28" s="171"/>
      <c r="F28" s="172">
        <v>5000</v>
      </c>
      <c r="G28" s="172"/>
      <c r="H28" s="175">
        <f t="shared" si="2"/>
        <v>5000</v>
      </c>
    </row>
    <row r="29" spans="2:8" x14ac:dyDescent="0.25">
      <c r="C29" s="170" t="s">
        <v>177</v>
      </c>
      <c r="D29" s="186"/>
      <c r="E29" s="171"/>
      <c r="F29" s="172">
        <v>45000</v>
      </c>
      <c r="G29" s="172"/>
      <c r="H29" s="175">
        <f t="shared" si="2"/>
        <v>45000</v>
      </c>
    </row>
    <row r="30" spans="2:8" x14ac:dyDescent="0.25">
      <c r="C30" s="170" t="s">
        <v>103</v>
      </c>
      <c r="D30" s="186"/>
      <c r="E30" s="171"/>
      <c r="F30" s="172">
        <v>80000</v>
      </c>
      <c r="G30" s="172"/>
      <c r="H30" s="175">
        <f t="shared" si="2"/>
        <v>80000</v>
      </c>
    </row>
    <row r="31" spans="2:8" x14ac:dyDescent="0.25">
      <c r="C31" s="170"/>
      <c r="D31" s="186"/>
      <c r="E31" s="171"/>
      <c r="F31" s="172"/>
      <c r="G31" s="172"/>
      <c r="H31" s="175"/>
    </row>
    <row r="32" spans="2:8" x14ac:dyDescent="0.25">
      <c r="C32" s="170"/>
      <c r="D32" s="186"/>
      <c r="E32" s="171"/>
      <c r="F32" s="172"/>
      <c r="G32" s="172"/>
      <c r="H32" s="175">
        <f>SUM(H24:H30)</f>
        <v>324500</v>
      </c>
    </row>
    <row r="33" spans="2:8" x14ac:dyDescent="0.25">
      <c r="B33" s="167" t="s">
        <v>131</v>
      </c>
      <c r="C33" s="167"/>
      <c r="D33" s="168"/>
      <c r="E33" s="168"/>
      <c r="F33" s="173">
        <f>H33/174</f>
        <v>5009.4827586206893</v>
      </c>
      <c r="G33" s="173"/>
      <c r="H33" s="178">
        <f>SUM(H13,H22,H32)</f>
        <v>871650</v>
      </c>
    </row>
  </sheetData>
  <pageMargins left="0.7" right="0.7" top="0.75" bottom="0.75" header="0.3" footer="0.3"/>
  <pageSetup scale="73" orientation="portrait" r:id="rId1"/>
  <customProperties>
    <customPr name="SSC_SHEET_GUID" r:id="rId2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G33"/>
  <sheetViews>
    <sheetView showGridLines="0" workbookViewId="0">
      <selection activeCell="C34" sqref="C34"/>
    </sheetView>
  </sheetViews>
  <sheetFormatPr defaultColWidth="8.85546875" defaultRowHeight="15" x14ac:dyDescent="0.25"/>
  <cols>
    <col min="1" max="1" width="5.7109375" customWidth="1"/>
    <col min="2" max="2" width="5" customWidth="1"/>
    <col min="3" max="3" width="37.42578125" customWidth="1"/>
    <col min="4" max="4" width="9.140625" customWidth="1"/>
    <col min="5" max="5" width="20" customWidth="1"/>
    <col min="6" max="6" width="15.28515625" bestFit="1" customWidth="1"/>
    <col min="7" max="7" width="4.85546875" customWidth="1"/>
  </cols>
  <sheetData>
    <row r="1" spans="2:7" ht="25.5" customHeight="1" thickBot="1" x14ac:dyDescent="0.3">
      <c r="B1" s="36" t="str">
        <f>Analysis!B1</f>
        <v>The Arbors, Maple Shade, NJ</v>
      </c>
      <c r="C1" s="37"/>
      <c r="D1" s="38"/>
      <c r="E1" s="38"/>
      <c r="F1" s="38"/>
      <c r="G1" s="38"/>
    </row>
    <row r="2" spans="2:7" ht="18.75" customHeight="1" x14ac:dyDescent="0.25">
      <c r="B2" s="179"/>
      <c r="C2" s="41"/>
      <c r="D2" s="44"/>
      <c r="E2" s="44"/>
      <c r="F2" s="44"/>
      <c r="G2" s="44"/>
    </row>
    <row r="3" spans="2:7" ht="18" x14ac:dyDescent="0.25">
      <c r="B3" s="148" t="s">
        <v>139</v>
      </c>
      <c r="C3" s="148"/>
      <c r="D3" s="149" t="s">
        <v>65</v>
      </c>
      <c r="E3" s="149" t="s">
        <v>130</v>
      </c>
      <c r="F3" s="149" t="s">
        <v>131</v>
      </c>
    </row>
    <row r="4" spans="2:7" x14ac:dyDescent="0.25">
      <c r="B4" s="150" t="s">
        <v>19</v>
      </c>
      <c r="C4" s="150"/>
      <c r="D4" s="150"/>
      <c r="E4" s="150"/>
      <c r="F4" s="151">
        <v>3750000</v>
      </c>
    </row>
    <row r="5" spans="2:7" x14ac:dyDescent="0.25">
      <c r="B5" s="152"/>
      <c r="C5" s="152"/>
      <c r="D5" s="152"/>
      <c r="E5" s="152"/>
      <c r="F5" s="153"/>
    </row>
    <row r="6" spans="2:7" x14ac:dyDescent="0.25">
      <c r="B6" s="150" t="s">
        <v>113</v>
      </c>
      <c r="C6" s="150"/>
      <c r="D6" s="150"/>
      <c r="E6" s="150"/>
      <c r="F6" s="154"/>
    </row>
    <row r="7" spans="2:7" x14ac:dyDescent="0.25">
      <c r="B7" s="152"/>
      <c r="C7" s="152" t="s">
        <v>216</v>
      </c>
      <c r="D7" s="152"/>
      <c r="E7" s="152"/>
      <c r="F7" s="153">
        <v>15000</v>
      </c>
    </row>
    <row r="8" spans="2:7" x14ac:dyDescent="0.25">
      <c r="B8" s="152"/>
      <c r="C8" s="152" t="s">
        <v>215</v>
      </c>
      <c r="D8" s="152"/>
      <c r="E8" s="152"/>
      <c r="F8" s="153">
        <v>25000</v>
      </c>
    </row>
    <row r="9" spans="2:7" x14ac:dyDescent="0.25">
      <c r="B9" s="152"/>
      <c r="C9" s="152" t="s">
        <v>114</v>
      </c>
      <c r="D9" s="152"/>
      <c r="E9" s="152"/>
      <c r="F9" s="153">
        <v>0</v>
      </c>
    </row>
    <row r="10" spans="2:7" x14ac:dyDescent="0.25">
      <c r="B10" s="152"/>
      <c r="C10" s="152" t="s">
        <v>115</v>
      </c>
      <c r="D10" s="159">
        <v>0.03</v>
      </c>
      <c r="E10" s="156" t="s">
        <v>116</v>
      </c>
      <c r="F10" s="153">
        <f>D10*F4</f>
        <v>112500</v>
      </c>
    </row>
    <row r="11" spans="2:7" x14ac:dyDescent="0.25">
      <c r="B11" s="150" t="s">
        <v>117</v>
      </c>
      <c r="C11" s="150"/>
      <c r="D11" s="150"/>
      <c r="E11" s="157"/>
      <c r="F11" s="154">
        <f>SUM(F7:F10)</f>
        <v>152500</v>
      </c>
    </row>
    <row r="12" spans="2:7" x14ac:dyDescent="0.25">
      <c r="B12" s="152"/>
      <c r="C12" s="152"/>
      <c r="D12" s="152"/>
      <c r="E12" s="156"/>
      <c r="F12" s="153"/>
    </row>
    <row r="13" spans="2:7" x14ac:dyDescent="0.25">
      <c r="B13" s="150" t="s">
        <v>118</v>
      </c>
      <c r="C13" s="150"/>
      <c r="D13" s="150"/>
      <c r="E13" s="157"/>
      <c r="F13" s="154"/>
    </row>
    <row r="14" spans="2:7" x14ac:dyDescent="0.25">
      <c r="B14" s="152"/>
      <c r="C14" s="152" t="s">
        <v>119</v>
      </c>
      <c r="D14" s="152"/>
      <c r="E14" s="156"/>
      <c r="F14" s="153">
        <v>5000</v>
      </c>
    </row>
    <row r="15" spans="2:7" x14ac:dyDescent="0.25">
      <c r="B15" s="152"/>
      <c r="C15" s="152" t="s">
        <v>120</v>
      </c>
      <c r="D15" s="158">
        <v>7.4999999999999997E-3</v>
      </c>
      <c r="E15" s="156" t="s">
        <v>134</v>
      </c>
      <c r="F15" s="153">
        <f>D15*Analysis!G113</f>
        <v>38250</v>
      </c>
    </row>
    <row r="16" spans="2:7" x14ac:dyDescent="0.25">
      <c r="B16" s="152"/>
      <c r="C16" s="152" t="s">
        <v>121</v>
      </c>
      <c r="D16" s="158">
        <v>0</v>
      </c>
      <c r="E16" s="156" t="s">
        <v>134</v>
      </c>
      <c r="F16" s="153">
        <f>D16*Analysis!G113</f>
        <v>0</v>
      </c>
    </row>
    <row r="17" spans="2:6" x14ac:dyDescent="0.25">
      <c r="B17" s="152"/>
      <c r="C17" s="152" t="s">
        <v>122</v>
      </c>
      <c r="D17" s="152"/>
      <c r="E17" s="152"/>
      <c r="F17" s="153">
        <v>0</v>
      </c>
    </row>
    <row r="18" spans="2:6" x14ac:dyDescent="0.25">
      <c r="B18" s="152"/>
      <c r="C18" s="152" t="s">
        <v>123</v>
      </c>
      <c r="D18" s="152"/>
      <c r="E18" s="152"/>
      <c r="F18" s="153">
        <v>0</v>
      </c>
    </row>
    <row r="19" spans="2:6" x14ac:dyDescent="0.25">
      <c r="B19" s="152"/>
      <c r="C19" s="152" t="s">
        <v>124</v>
      </c>
      <c r="D19" s="152"/>
      <c r="E19" s="152"/>
      <c r="F19" s="153">
        <v>20000</v>
      </c>
    </row>
    <row r="20" spans="2:6" x14ac:dyDescent="0.25">
      <c r="B20" s="152"/>
      <c r="C20" s="152" t="s">
        <v>125</v>
      </c>
      <c r="D20" s="152"/>
      <c r="E20" s="152"/>
      <c r="F20" s="153">
        <v>15000</v>
      </c>
    </row>
    <row r="21" spans="2:6" x14ac:dyDescent="0.25">
      <c r="B21" s="150" t="s">
        <v>126</v>
      </c>
      <c r="C21" s="150"/>
      <c r="D21" s="150"/>
      <c r="E21" s="150"/>
      <c r="F21" s="154">
        <f>SUM(F14:F20)</f>
        <v>78250</v>
      </c>
    </row>
    <row r="22" spans="2:6" x14ac:dyDescent="0.25">
      <c r="B22" s="152"/>
      <c r="C22" s="152"/>
      <c r="D22" s="152"/>
      <c r="E22" s="152"/>
      <c r="F22" s="153"/>
    </row>
    <row r="23" spans="2:6" x14ac:dyDescent="0.25">
      <c r="B23" s="150" t="s">
        <v>127</v>
      </c>
      <c r="C23" s="150"/>
      <c r="D23" s="150"/>
      <c r="E23" s="150"/>
      <c r="F23" s="154">
        <f>Capex!H33</f>
        <v>871650</v>
      </c>
    </row>
    <row r="24" spans="2:6" x14ac:dyDescent="0.25">
      <c r="B24" s="152"/>
      <c r="C24" s="152"/>
      <c r="D24" s="152"/>
      <c r="E24" s="152"/>
      <c r="F24" s="153"/>
    </row>
    <row r="25" spans="2:6" x14ac:dyDescent="0.25">
      <c r="B25" s="150" t="s">
        <v>128</v>
      </c>
      <c r="C25" s="150"/>
      <c r="D25" s="150"/>
      <c r="E25" s="150"/>
      <c r="F25" s="154"/>
    </row>
    <row r="26" spans="2:6" x14ac:dyDescent="0.25">
      <c r="B26" s="152"/>
      <c r="C26" s="152" t="s">
        <v>5</v>
      </c>
      <c r="D26" s="152"/>
      <c r="E26" s="152"/>
      <c r="F26" s="153">
        <f>375*70</f>
        <v>26250</v>
      </c>
    </row>
    <row r="27" spans="2:6" x14ac:dyDescent="0.25">
      <c r="B27" s="152"/>
      <c r="C27" s="152" t="s">
        <v>105</v>
      </c>
      <c r="D27" s="152"/>
      <c r="E27" s="152"/>
      <c r="F27" s="153">
        <f>Analysis!G107</f>
        <v>300000</v>
      </c>
    </row>
    <row r="28" spans="2:6" x14ac:dyDescent="0.25">
      <c r="B28" s="152"/>
      <c r="C28" s="152" t="s">
        <v>129</v>
      </c>
      <c r="D28" s="152"/>
      <c r="E28" s="152"/>
      <c r="F28" s="153">
        <v>100000</v>
      </c>
    </row>
    <row r="29" spans="2:6" x14ac:dyDescent="0.25">
      <c r="B29" s="150" t="s">
        <v>132</v>
      </c>
      <c r="C29" s="150"/>
      <c r="D29" s="150"/>
      <c r="E29" s="150"/>
      <c r="F29" s="154">
        <f>SUM(F26:F28)</f>
        <v>426250</v>
      </c>
    </row>
    <row r="30" spans="2:6" x14ac:dyDescent="0.25">
      <c r="B30" s="152"/>
      <c r="C30" s="152"/>
      <c r="D30" s="152"/>
      <c r="E30" s="152"/>
      <c r="F30" s="153"/>
    </row>
    <row r="31" spans="2:6" x14ac:dyDescent="0.25">
      <c r="B31" s="150" t="s">
        <v>133</v>
      </c>
      <c r="C31" s="150"/>
      <c r="D31" s="150"/>
      <c r="E31" s="150"/>
      <c r="F31" s="155">
        <f>F29+F23+F21+F11+F4</f>
        <v>5278650</v>
      </c>
    </row>
    <row r="33" spans="6:6" x14ac:dyDescent="0.25">
      <c r="F33" s="325"/>
    </row>
  </sheetData>
  <pageMargins left="0.7" right="0.7" top="0.75" bottom="0.75" header="0.3" footer="0.3"/>
  <pageSetup scale="93" orientation="portrait" r:id="rId1"/>
  <customProperties>
    <customPr name="SSC_SHEET_GUID" r:id="rId2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BT475"/>
  <sheetViews>
    <sheetView showGridLines="0" topLeftCell="A4" zoomScale="70" zoomScaleNormal="70" zoomScalePageLayoutView="70" workbookViewId="0">
      <selection activeCell="E12" sqref="E12:E23"/>
    </sheetView>
  </sheetViews>
  <sheetFormatPr defaultColWidth="10.7109375" defaultRowHeight="15" x14ac:dyDescent="0.25"/>
  <cols>
    <col min="1" max="1" width="1.42578125" style="41" customWidth="1"/>
    <col min="2" max="2" width="6" style="42" customWidth="1"/>
    <col min="3" max="6" width="15.7109375" style="42" customWidth="1"/>
    <col min="7" max="7" width="2.7109375" style="42" customWidth="1"/>
    <col min="8" max="8" width="6.28515625" style="42" customWidth="1"/>
    <col min="9" max="9" width="12.42578125" style="42" hidden="1" customWidth="1"/>
    <col min="10" max="10" width="10.7109375" style="42" hidden="1" customWidth="1"/>
    <col min="11" max="11" width="12.85546875" style="42" hidden="1" customWidth="1"/>
    <col min="12" max="12" width="16" style="42" hidden="1" customWidth="1"/>
    <col min="13" max="13" width="14.85546875" style="42" hidden="1" customWidth="1"/>
    <col min="14" max="14" width="6.140625" style="42" hidden="1" customWidth="1"/>
    <col min="15" max="15" width="6" style="42" customWidth="1"/>
    <col min="16" max="19" width="15.7109375" style="42" customWidth="1"/>
    <col min="20" max="20" width="2.7109375" style="42" customWidth="1"/>
    <col min="21" max="21" width="6.140625" style="42" customWidth="1"/>
    <col min="22" max="22" width="6" style="42" hidden="1" customWidth="1"/>
    <col min="23" max="26" width="15.7109375" style="42" hidden="1" customWidth="1"/>
    <col min="27" max="27" width="2.7109375" style="42" hidden="1" customWidth="1"/>
    <col min="28" max="28" width="6.140625" style="42" hidden="1" customWidth="1"/>
    <col min="29" max="29" width="6" style="42" customWidth="1"/>
    <col min="30" max="31" width="14.85546875" style="42" customWidth="1"/>
    <col min="32" max="32" width="16.28515625" style="42" bestFit="1" customWidth="1"/>
    <col min="33" max="33" width="14.85546875" style="42" customWidth="1"/>
    <col min="34" max="34" width="3.42578125" style="42" customWidth="1"/>
    <col min="35" max="36" width="4.7109375" style="41" customWidth="1"/>
    <col min="37" max="37" width="10.7109375" style="41"/>
    <col min="38" max="38" width="1.140625" style="41" customWidth="1"/>
    <col min="39" max="39" width="12" style="41" customWidth="1"/>
    <col min="40" max="40" width="1.140625" style="41" customWidth="1"/>
    <col min="41" max="41" width="14.42578125" style="41" customWidth="1"/>
    <col min="42" max="42" width="1.140625" style="41" customWidth="1"/>
    <col min="43" max="43" width="15.28515625" style="41" customWidth="1"/>
    <col min="44" max="44" width="1.140625" style="41" customWidth="1"/>
    <col min="45" max="45" width="15.28515625" style="41" customWidth="1"/>
    <col min="46" max="46" width="1.140625" style="41" customWidth="1"/>
    <col min="47" max="47" width="12.140625" style="41" customWidth="1"/>
    <col min="48" max="48" width="1.140625" style="41" customWidth="1"/>
    <col min="49" max="49" width="12" style="41" customWidth="1"/>
    <col min="50" max="50" width="1.140625" style="41" customWidth="1"/>
    <col min="51" max="51" width="10.7109375" style="41"/>
    <col min="52" max="52" width="1.140625" style="41" customWidth="1"/>
    <col min="53" max="54" width="10.7109375" style="41"/>
    <col min="55" max="55" width="11.7109375" style="44" customWidth="1"/>
    <col min="56" max="56" width="13.42578125" style="44" customWidth="1"/>
    <col min="57" max="57" width="10.7109375" style="44"/>
    <col min="58" max="58" width="18.7109375" style="44" customWidth="1"/>
    <col min="59" max="59" width="14.42578125" style="44" customWidth="1"/>
    <col min="60" max="60" width="15" style="44" customWidth="1"/>
    <col min="61" max="61" width="15.42578125" style="44" customWidth="1"/>
    <col min="62" max="62" width="12" style="44" customWidth="1"/>
    <col min="63" max="63" width="11.85546875" style="44" customWidth="1"/>
    <col min="64" max="16384" width="10.7109375" style="41"/>
  </cols>
  <sheetData>
    <row r="1" spans="2:72" ht="27" thickBot="1" x14ac:dyDescent="0.3">
      <c r="B1" s="36" t="str">
        <f>Analysis!B1</f>
        <v>The Arbors, Maple Shade, NJ</v>
      </c>
      <c r="C1" s="37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9" t="str">
        <f>B1</f>
        <v>The Arbors, Maple Shade, NJ</v>
      </c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9" t="str">
        <f>B1</f>
        <v>The Arbors, Maple Shade, NJ</v>
      </c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40"/>
      <c r="BP1" s="40"/>
      <c r="BQ1" s="40"/>
      <c r="BR1" s="40"/>
      <c r="BS1" s="40"/>
      <c r="BT1" s="40"/>
    </row>
    <row r="2" spans="2:72" x14ac:dyDescent="0.25">
      <c r="C2" s="43"/>
      <c r="D2" s="43"/>
      <c r="E2" s="43"/>
      <c r="F2" s="43"/>
      <c r="G2" s="43"/>
    </row>
    <row r="3" spans="2:72" x14ac:dyDescent="0.25">
      <c r="B3" s="349" t="s">
        <v>34</v>
      </c>
      <c r="C3" s="349"/>
      <c r="D3" s="349"/>
      <c r="E3" s="349"/>
      <c r="F3" s="349"/>
      <c r="G3" s="349"/>
      <c r="I3" s="349" t="s">
        <v>35</v>
      </c>
      <c r="J3" s="349"/>
      <c r="K3" s="349"/>
      <c r="L3" s="349"/>
      <c r="M3" s="349"/>
      <c r="N3" s="45"/>
      <c r="O3" s="349" t="s">
        <v>36</v>
      </c>
      <c r="P3" s="349"/>
      <c r="Q3" s="349"/>
      <c r="R3" s="349"/>
      <c r="S3" s="349"/>
      <c r="T3" s="349"/>
      <c r="U3" s="45"/>
      <c r="V3" s="349" t="s">
        <v>37</v>
      </c>
      <c r="W3" s="349"/>
      <c r="X3" s="349"/>
      <c r="Y3" s="349"/>
      <c r="Z3" s="349"/>
      <c r="AA3" s="349"/>
      <c r="AB3" s="45"/>
      <c r="AC3" s="349" t="s">
        <v>38</v>
      </c>
      <c r="AD3" s="349"/>
      <c r="AE3" s="349"/>
      <c r="AF3" s="349"/>
      <c r="AG3" s="349"/>
      <c r="AH3" s="349"/>
      <c r="AK3" s="349" t="s">
        <v>39</v>
      </c>
      <c r="AL3" s="349"/>
      <c r="AM3" s="349"/>
      <c r="AN3" s="349"/>
      <c r="AO3" s="349"/>
      <c r="AP3" s="349"/>
      <c r="AQ3" s="349"/>
      <c r="AR3" s="349"/>
      <c r="AS3" s="349"/>
      <c r="AT3" s="349"/>
      <c r="AU3" s="349"/>
      <c r="AV3" s="349"/>
      <c r="AW3" s="349"/>
      <c r="AX3" s="349"/>
      <c r="AY3" s="349"/>
      <c r="AZ3" s="349"/>
      <c r="BA3" s="349"/>
    </row>
    <row r="4" spans="2:72" ht="14.25" customHeight="1" x14ac:dyDescent="0.25">
      <c r="B4" s="46"/>
      <c r="C4" s="46"/>
      <c r="D4" s="47"/>
      <c r="E4" s="46"/>
      <c r="F4" s="47"/>
      <c r="G4" s="47"/>
      <c r="I4" s="46"/>
      <c r="J4" s="46"/>
      <c r="K4" s="46"/>
      <c r="L4" s="46"/>
      <c r="M4" s="46"/>
      <c r="O4" s="46"/>
      <c r="P4" s="46"/>
      <c r="Q4" s="47"/>
      <c r="R4" s="46"/>
      <c r="S4" s="47"/>
      <c r="T4" s="47"/>
      <c r="V4" s="46"/>
      <c r="W4" s="46"/>
      <c r="X4" s="47"/>
      <c r="Y4" s="46"/>
      <c r="Z4" s="47"/>
      <c r="AA4" s="47"/>
      <c r="AC4" s="46"/>
      <c r="AD4" s="46"/>
      <c r="AE4" s="46"/>
      <c r="AF4" s="46"/>
      <c r="AG4" s="46"/>
      <c r="AH4" s="46"/>
      <c r="AK4" s="44"/>
      <c r="AL4" s="44"/>
      <c r="AM4" s="348" t="s">
        <v>40</v>
      </c>
      <c r="AN4" s="48"/>
      <c r="AO4" s="348" t="s">
        <v>41</v>
      </c>
      <c r="AP4" s="48"/>
      <c r="AQ4" s="348" t="s">
        <v>42</v>
      </c>
      <c r="AR4" s="48"/>
      <c r="AS4" s="348" t="s">
        <v>43</v>
      </c>
      <c r="AT4" s="48"/>
      <c r="AU4" s="348" t="s">
        <v>44</v>
      </c>
      <c r="AV4" s="48"/>
      <c r="AW4" s="348" t="s">
        <v>45</v>
      </c>
      <c r="AX4" s="48"/>
      <c r="AY4" s="346" t="s">
        <v>46</v>
      </c>
      <c r="AZ4" s="49"/>
      <c r="BA4" s="346" t="s">
        <v>47</v>
      </c>
    </row>
    <row r="5" spans="2:72" ht="21" customHeight="1" x14ac:dyDescent="0.25">
      <c r="B5" s="50" t="s">
        <v>48</v>
      </c>
      <c r="C5" s="46"/>
      <c r="D5" s="47"/>
      <c r="E5" s="47"/>
      <c r="F5" s="47"/>
      <c r="G5" s="47"/>
      <c r="I5" s="46"/>
      <c r="J5" s="46"/>
      <c r="K5" s="46"/>
      <c r="L5" s="46"/>
      <c r="M5" s="46"/>
      <c r="O5" s="50" t="s">
        <v>48</v>
      </c>
      <c r="P5" s="46"/>
      <c r="Q5" s="47"/>
      <c r="R5" s="47"/>
      <c r="S5" s="47"/>
      <c r="T5" s="47"/>
      <c r="V5" s="50" t="s">
        <v>48</v>
      </c>
      <c r="W5" s="46"/>
      <c r="X5" s="47"/>
      <c r="Y5" s="47"/>
      <c r="Z5" s="47"/>
      <c r="AA5" s="47"/>
      <c r="AC5" s="50" t="s">
        <v>48</v>
      </c>
      <c r="AD5" s="46"/>
      <c r="AE5" s="46"/>
      <c r="AF5" s="47"/>
      <c r="AG5" s="47"/>
      <c r="AH5" s="47"/>
      <c r="AK5" s="51" t="s">
        <v>49</v>
      </c>
      <c r="AL5" s="52"/>
      <c r="AM5" s="347"/>
      <c r="AN5" s="53"/>
      <c r="AO5" s="347"/>
      <c r="AP5" s="53"/>
      <c r="AQ5" s="347"/>
      <c r="AR5" s="53"/>
      <c r="AS5" s="347"/>
      <c r="AT5" s="53"/>
      <c r="AU5" s="347"/>
      <c r="AV5" s="53"/>
      <c r="AW5" s="347"/>
      <c r="AX5" s="53"/>
      <c r="AY5" s="347"/>
      <c r="AZ5" s="53"/>
      <c r="BA5" s="347"/>
    </row>
    <row r="6" spans="2:72" ht="15" customHeight="1" x14ac:dyDescent="0.25">
      <c r="B6" s="46"/>
      <c r="C6" s="54" t="s">
        <v>50</v>
      </c>
      <c r="D6" s="55">
        <f>Analysis!G113</f>
        <v>5100000</v>
      </c>
      <c r="E6" s="56" t="s">
        <v>51</v>
      </c>
      <c r="F6" s="57">
        <f>Analysis!G117</f>
        <v>4.1000000000000002E-2</v>
      </c>
      <c r="G6" s="58"/>
      <c r="I6" s="46"/>
      <c r="J6" s="46"/>
      <c r="K6" s="46"/>
      <c r="L6" s="46"/>
      <c r="M6" s="46"/>
      <c r="O6" s="46"/>
      <c r="P6" s="54" t="s">
        <v>50</v>
      </c>
      <c r="Q6" s="55">
        <v>0</v>
      </c>
      <c r="R6" s="56" t="s">
        <v>51</v>
      </c>
      <c r="S6" s="57">
        <f>Analysis!E142</f>
        <v>0.06</v>
      </c>
      <c r="T6" s="58"/>
      <c r="V6" s="46"/>
      <c r="W6" s="54" t="s">
        <v>50</v>
      </c>
      <c r="X6" s="55" t="e">
        <f>ds_refi_beg_balance</f>
        <v>#NAME?</v>
      </c>
      <c r="Y6" s="56" t="s">
        <v>51</v>
      </c>
      <c r="Z6" s="57" t="e">
        <f>ds_refi_int_rate</f>
        <v>#NAME?</v>
      </c>
      <c r="AA6" s="58"/>
      <c r="AC6" s="46"/>
      <c r="AD6" s="54" t="s">
        <v>50</v>
      </c>
      <c r="AE6" s="59">
        <v>0</v>
      </c>
      <c r="AF6" s="56" t="s">
        <v>51</v>
      </c>
      <c r="AG6" s="60">
        <v>0</v>
      </c>
      <c r="AH6" s="58"/>
      <c r="AI6" s="61">
        <v>20</v>
      </c>
      <c r="AJ6" s="61">
        <v>19</v>
      </c>
      <c r="AK6" s="44">
        <v>1</v>
      </c>
      <c r="AL6" s="44"/>
      <c r="AM6" s="62">
        <f t="shared" ref="AM6:AM36" ca="1" si="0">AU6+AW6</f>
        <v>207652.40999999997</v>
      </c>
      <c r="AN6" s="62"/>
      <c r="AO6" s="62">
        <f ca="1">AY6+BA6</f>
        <v>82865.87618849556</v>
      </c>
      <c r="AP6" s="62"/>
      <c r="AQ6" s="62">
        <f ca="1">AO6</f>
        <v>82865.87618849556</v>
      </c>
      <c r="AR6" s="62"/>
      <c r="AS6" s="62">
        <f ca="1">IF(OFFSET($O$4,AI6,3)&gt;0,OFFSET($O$4,AJ6,4)+OFFSET($AC$4,AJ6,4),OFFSET($B$4,AJ6,4)+OFFSET($AC$4,AJ6,4))</f>
        <v>5017134.1238115039</v>
      </c>
      <c r="AT6" s="62"/>
      <c r="AU6" s="62">
        <f ca="1">IF(OFFSET($O$4,AI6,2)&gt;0,OFFSET($O$4,AI6,2),OFFSET($B$4,AI6,2))</f>
        <v>207652.40999999997</v>
      </c>
      <c r="AV6" s="62"/>
      <c r="AW6" s="62">
        <f ca="1">OFFSET($AC$4,AI6,2,1,1)</f>
        <v>0</v>
      </c>
      <c r="AX6" s="62"/>
      <c r="AY6" s="62">
        <f ca="1">IF(OFFSET($O$4,AI6,3)&gt;0,OFFSET($O$4,AI6,3),OFFSET($B$4,AI6,3))</f>
        <v>82865.87618849556</v>
      </c>
      <c r="AZ6" s="62"/>
      <c r="BA6" s="62">
        <f ca="1">OFFSET($AC$4,AI6,3,1,1)</f>
        <v>0</v>
      </c>
    </row>
    <row r="7" spans="2:72" x14ac:dyDescent="0.25">
      <c r="B7" s="46"/>
      <c r="C7" s="54" t="s">
        <v>52</v>
      </c>
      <c r="D7" s="63">
        <f>Analysis!G118*12</f>
        <v>360</v>
      </c>
      <c r="E7" s="56" t="s">
        <v>53</v>
      </c>
      <c r="F7" s="46">
        <v>1</v>
      </c>
      <c r="G7" s="47"/>
      <c r="I7" s="46"/>
      <c r="J7" s="46"/>
      <c r="K7" s="46"/>
      <c r="L7" s="46"/>
      <c r="M7" s="46"/>
      <c r="O7" s="46"/>
      <c r="P7" s="54" t="s">
        <v>52</v>
      </c>
      <c r="Q7" s="63">
        <f>Analysis!E143*12</f>
        <v>360</v>
      </c>
      <c r="R7" s="56" t="s">
        <v>53</v>
      </c>
      <c r="S7" s="46">
        <v>1</v>
      </c>
      <c r="T7" s="47"/>
      <c r="V7" s="46"/>
      <c r="W7" s="54" t="s">
        <v>52</v>
      </c>
      <c r="X7" s="63" t="e">
        <f>ds_refi_term</f>
        <v>#NAME?</v>
      </c>
      <c r="Y7" s="56" t="s">
        <v>53</v>
      </c>
      <c r="Z7" s="46" t="e">
        <f>ds_refi_year*12+1</f>
        <v>#NAME?</v>
      </c>
      <c r="AA7" s="47"/>
      <c r="AC7" s="46"/>
      <c r="AD7" s="54" t="s">
        <v>52</v>
      </c>
      <c r="AE7" s="63">
        <v>0</v>
      </c>
      <c r="AF7" s="56" t="s">
        <v>53</v>
      </c>
      <c r="AG7" s="46">
        <f>F7</f>
        <v>1</v>
      </c>
      <c r="AH7" s="47"/>
      <c r="AI7" s="61">
        <f>AI6+15</f>
        <v>35</v>
      </c>
      <c r="AJ7" s="61">
        <f>AJ6+15</f>
        <v>34</v>
      </c>
      <c r="AK7" s="44">
        <v>2</v>
      </c>
      <c r="AL7" s="44"/>
      <c r="AM7" s="62">
        <f t="shared" ca="1" si="0"/>
        <v>203991.54999999996</v>
      </c>
      <c r="AN7" s="62"/>
      <c r="AO7" s="62">
        <f t="shared" ref="AO7:AO36" ca="1" si="1">AY7+BA7</f>
        <v>91725.853114722442</v>
      </c>
      <c r="AP7" s="62"/>
      <c r="AQ7" s="62">
        <f ca="1">AQ6+AO7</f>
        <v>174591.72930321802</v>
      </c>
      <c r="AR7" s="62"/>
      <c r="AS7" s="62">
        <f t="shared" ref="AS7:AS36" ca="1" si="2">IF(OFFSET($O$4,AI7,3)&gt;0,OFFSET($O$4,AJ7,4)+OFFSET($AC$4,AJ7,4),OFFSET($B$4,AJ7,4)+OFFSET($AC$4,AJ7,4))</f>
        <v>4925408.2706967834</v>
      </c>
      <c r="AT7" s="62"/>
      <c r="AU7" s="62">
        <f t="shared" ref="AU7:AU36" ca="1" si="3">IF(OFFSET($O$4,AI7,2)&gt;0,OFFSET($O$4,AI7,2),OFFSET($B$4,AI7,2))</f>
        <v>203991.54999999996</v>
      </c>
      <c r="AV7" s="62"/>
      <c r="AW7" s="62">
        <f t="shared" ref="AW7:AW36" ca="1" si="4">OFFSET($AC$4,AI7,2,1,1)</f>
        <v>0</v>
      </c>
      <c r="AX7" s="62"/>
      <c r="AY7" s="62">
        <f t="shared" ref="AY7:AY36" ca="1" si="5">IF(OFFSET($O$4,AI7,3)&gt;0,OFFSET($O$4,AI7,3),OFFSET($B$4,AI7,3))</f>
        <v>91725.853114722442</v>
      </c>
      <c r="AZ7" s="62"/>
      <c r="BA7" s="62">
        <f t="shared" ref="BA7:BA36" ca="1" si="6">OFFSET($AC$4,AI7,3,1,1)</f>
        <v>0</v>
      </c>
    </row>
    <row r="8" spans="2:72" x14ac:dyDescent="0.25">
      <c r="B8" s="46"/>
      <c r="C8" s="54" t="s">
        <v>54</v>
      </c>
      <c r="D8" s="64">
        <f>Analysis!G119/12</f>
        <v>24643.11692622687</v>
      </c>
      <c r="E8" s="56" t="s">
        <v>55</v>
      </c>
      <c r="F8" s="46">
        <v>2019</v>
      </c>
      <c r="G8" s="47"/>
      <c r="I8" s="46"/>
      <c r="J8" s="46"/>
      <c r="K8" s="46"/>
      <c r="L8" s="46"/>
      <c r="M8" s="46"/>
      <c r="O8" s="46"/>
      <c r="P8" s="54" t="s">
        <v>54</v>
      </c>
      <c r="Q8" s="64">
        <v>0</v>
      </c>
      <c r="R8" s="56"/>
      <c r="S8" s="46"/>
      <c r="T8" s="47"/>
      <c r="V8" s="46"/>
      <c r="W8" s="54" t="s">
        <v>54</v>
      </c>
      <c r="X8" s="64"/>
      <c r="Y8" s="56"/>
      <c r="Z8" s="46"/>
      <c r="AA8" s="47"/>
      <c r="AC8" s="46"/>
      <c r="AD8" s="54" t="s">
        <v>54</v>
      </c>
      <c r="AE8" s="64">
        <v>0</v>
      </c>
      <c r="AF8" s="56" t="s">
        <v>55</v>
      </c>
      <c r="AG8" s="46">
        <f>F8</f>
        <v>2019</v>
      </c>
      <c r="AH8" s="47"/>
      <c r="AI8" s="61">
        <f t="shared" ref="AI8:AJ23" si="7">AI7+15</f>
        <v>50</v>
      </c>
      <c r="AJ8" s="61">
        <f t="shared" si="7"/>
        <v>49</v>
      </c>
      <c r="AK8" s="44">
        <v>3</v>
      </c>
      <c r="AL8" s="44"/>
      <c r="AM8" s="62">
        <f t="shared" ca="1" si="0"/>
        <v>200159.31999999998</v>
      </c>
      <c r="AN8" s="62"/>
      <c r="AO8" s="62">
        <f t="shared" ca="1" si="1"/>
        <v>95558.083114722453</v>
      </c>
      <c r="AP8" s="62"/>
      <c r="AQ8" s="62">
        <f t="shared" ref="AQ8:AQ36" ca="1" si="8">AQ7+AO8</f>
        <v>270149.81241794047</v>
      </c>
      <c r="AR8" s="62"/>
      <c r="AS8" s="62">
        <f t="shared" ca="1" si="2"/>
        <v>4829850.1875820598</v>
      </c>
      <c r="AT8" s="62"/>
      <c r="AU8" s="62">
        <f t="shared" ca="1" si="3"/>
        <v>200159.31999999998</v>
      </c>
      <c r="AV8" s="62"/>
      <c r="AW8" s="62">
        <f t="shared" ca="1" si="4"/>
        <v>0</v>
      </c>
      <c r="AX8" s="62"/>
      <c r="AY8" s="62">
        <f t="shared" ca="1" si="5"/>
        <v>95558.083114722453</v>
      </c>
      <c r="AZ8" s="62"/>
      <c r="BA8" s="62">
        <f t="shared" ca="1" si="6"/>
        <v>0</v>
      </c>
      <c r="BC8" s="65"/>
    </row>
    <row r="9" spans="2:72" x14ac:dyDescent="0.25">
      <c r="B9" s="46"/>
      <c r="C9" s="66">
        <f>DATE(F8,F7,1)</f>
        <v>43466</v>
      </c>
      <c r="D9" s="67"/>
      <c r="E9" s="68"/>
      <c r="F9" s="69"/>
      <c r="G9" s="47"/>
      <c r="I9" s="70"/>
      <c r="J9" s="71"/>
      <c r="K9" s="71" t="s">
        <v>56</v>
      </c>
      <c r="L9" s="70"/>
      <c r="M9" s="72" t="s">
        <v>57</v>
      </c>
      <c r="N9" s="73"/>
      <c r="O9" s="46"/>
      <c r="P9" s="66">
        <f>DATE(F8,F7,1)</f>
        <v>43466</v>
      </c>
      <c r="Q9" s="67"/>
      <c r="R9" s="68"/>
      <c r="S9" s="69"/>
      <c r="T9" s="47"/>
      <c r="U9" s="73"/>
      <c r="V9" s="46"/>
      <c r="W9" s="66">
        <f>DATE(F8,F7,1)</f>
        <v>43466</v>
      </c>
      <c r="X9" s="67"/>
      <c r="Y9" s="68"/>
      <c r="Z9" s="69"/>
      <c r="AA9" s="47"/>
      <c r="AB9" s="73"/>
      <c r="AC9" s="72"/>
      <c r="AD9" s="66">
        <f>DATE(AG8,AG7,1)</f>
        <v>43466</v>
      </c>
      <c r="AE9" s="67"/>
      <c r="AF9" s="68"/>
      <c r="AG9" s="69"/>
      <c r="AH9" s="47"/>
      <c r="AI9" s="61">
        <f t="shared" si="7"/>
        <v>65</v>
      </c>
      <c r="AJ9" s="61">
        <f t="shared" si="7"/>
        <v>64</v>
      </c>
      <c r="AK9" s="44">
        <v>4</v>
      </c>
      <c r="AL9" s="44"/>
      <c r="AM9" s="62">
        <f t="shared" ca="1" si="0"/>
        <v>196166.95999999996</v>
      </c>
      <c r="AN9" s="62"/>
      <c r="AO9" s="62">
        <f t="shared" ca="1" si="1"/>
        <v>99550.443114722453</v>
      </c>
      <c r="AP9" s="62"/>
      <c r="AQ9" s="62">
        <f t="shared" ca="1" si="8"/>
        <v>369700.25553266291</v>
      </c>
      <c r="AR9" s="62"/>
      <c r="AS9" s="62">
        <f t="shared" ca="1" si="2"/>
        <v>4730299.7444673376</v>
      </c>
      <c r="AT9" s="62"/>
      <c r="AU9" s="62">
        <f t="shared" ca="1" si="3"/>
        <v>196166.95999999996</v>
      </c>
      <c r="AV9" s="62"/>
      <c r="AW9" s="62">
        <f t="shared" ca="1" si="4"/>
        <v>0</v>
      </c>
      <c r="AX9" s="62"/>
      <c r="AY9" s="62">
        <f t="shared" ca="1" si="5"/>
        <v>99550.443114722453</v>
      </c>
      <c r="AZ9" s="62"/>
      <c r="BA9" s="62">
        <f t="shared" ca="1" si="6"/>
        <v>0</v>
      </c>
      <c r="BC9" s="65"/>
    </row>
    <row r="10" spans="2:72" x14ac:dyDescent="0.25">
      <c r="B10" s="46"/>
      <c r="C10" s="47"/>
      <c r="D10" s="47"/>
      <c r="E10" s="47"/>
      <c r="F10" s="47"/>
      <c r="G10" s="47"/>
      <c r="I10" s="70"/>
      <c r="J10" s="74" t="s">
        <v>58</v>
      </c>
      <c r="K10" s="71" t="s">
        <v>59</v>
      </c>
      <c r="L10" s="70"/>
      <c r="M10" s="72" t="s">
        <v>60</v>
      </c>
      <c r="N10" s="73"/>
      <c r="O10" s="46"/>
      <c r="P10" s="47"/>
      <c r="Q10" s="47"/>
      <c r="R10" s="47"/>
      <c r="S10" s="47"/>
      <c r="T10" s="47"/>
      <c r="U10" s="73"/>
      <c r="V10" s="46"/>
      <c r="W10" s="47"/>
      <c r="X10" s="47"/>
      <c r="Y10" s="47"/>
      <c r="Z10" s="47"/>
      <c r="AA10" s="47"/>
      <c r="AB10" s="73"/>
      <c r="AC10" s="72"/>
      <c r="AD10" s="47"/>
      <c r="AE10" s="47"/>
      <c r="AF10" s="47"/>
      <c r="AG10" s="47"/>
      <c r="AH10" s="47"/>
      <c r="AI10" s="61">
        <f t="shared" si="7"/>
        <v>80</v>
      </c>
      <c r="AJ10" s="61">
        <f t="shared" si="7"/>
        <v>79</v>
      </c>
      <c r="AK10" s="44">
        <v>5</v>
      </c>
      <c r="AL10" s="44"/>
      <c r="AM10" s="62">
        <f t="shared" ca="1" si="0"/>
        <v>192007.81999999998</v>
      </c>
      <c r="AN10" s="62"/>
      <c r="AO10" s="62">
        <f t="shared" ca="1" si="1"/>
        <v>103709.58311472244</v>
      </c>
      <c r="AP10" s="62"/>
      <c r="AQ10" s="62">
        <f t="shared" ca="1" si="8"/>
        <v>473409.83864738536</v>
      </c>
      <c r="AR10" s="62"/>
      <c r="AS10" s="62">
        <f t="shared" ca="1" si="2"/>
        <v>4626590.1613526149</v>
      </c>
      <c r="AT10" s="62"/>
      <c r="AU10" s="62">
        <f t="shared" ca="1" si="3"/>
        <v>192007.81999999998</v>
      </c>
      <c r="AV10" s="62"/>
      <c r="AW10" s="62">
        <f t="shared" ca="1" si="4"/>
        <v>0</v>
      </c>
      <c r="AX10" s="62"/>
      <c r="AY10" s="62">
        <f t="shared" ca="1" si="5"/>
        <v>103709.58311472244</v>
      </c>
      <c r="AZ10" s="62"/>
      <c r="BA10" s="62">
        <f t="shared" ca="1" si="6"/>
        <v>0</v>
      </c>
      <c r="BC10" s="65"/>
    </row>
    <row r="11" spans="2:72" ht="17.25" x14ac:dyDescent="0.25">
      <c r="B11" s="72" t="s">
        <v>61</v>
      </c>
      <c r="C11" s="47"/>
      <c r="D11" s="75" t="s">
        <v>62</v>
      </c>
      <c r="E11" s="75" t="s">
        <v>63</v>
      </c>
      <c r="F11" s="75" t="s">
        <v>64</v>
      </c>
      <c r="G11" s="47"/>
      <c r="I11" s="76" t="s">
        <v>58</v>
      </c>
      <c r="J11" s="76" t="s">
        <v>65</v>
      </c>
      <c r="K11" s="77" t="s">
        <v>66</v>
      </c>
      <c r="L11" s="76" t="s">
        <v>67</v>
      </c>
      <c r="M11" s="78" t="s">
        <v>68</v>
      </c>
      <c r="N11" s="79"/>
      <c r="O11" s="72" t="s">
        <v>61</v>
      </c>
      <c r="P11" s="47"/>
      <c r="Q11" s="75" t="s">
        <v>62</v>
      </c>
      <c r="R11" s="75" t="s">
        <v>63</v>
      </c>
      <c r="S11" s="75" t="s">
        <v>64</v>
      </c>
      <c r="T11" s="47"/>
      <c r="U11" s="79"/>
      <c r="V11" s="72" t="s">
        <v>61</v>
      </c>
      <c r="W11" s="47"/>
      <c r="X11" s="75" t="s">
        <v>62</v>
      </c>
      <c r="Y11" s="75" t="s">
        <v>63</v>
      </c>
      <c r="Z11" s="75" t="s">
        <v>64</v>
      </c>
      <c r="AA11" s="47"/>
      <c r="AB11" s="79"/>
      <c r="AC11" s="78"/>
      <c r="AD11" s="47"/>
      <c r="AE11" s="75" t="s">
        <v>62</v>
      </c>
      <c r="AF11" s="75" t="s">
        <v>63</v>
      </c>
      <c r="AG11" s="75" t="s">
        <v>64</v>
      </c>
      <c r="AH11" s="47"/>
      <c r="AI11" s="61">
        <f t="shared" si="7"/>
        <v>95</v>
      </c>
      <c r="AJ11" s="61">
        <f t="shared" si="7"/>
        <v>94</v>
      </c>
      <c r="AK11" s="44">
        <v>6</v>
      </c>
      <c r="AL11" s="44"/>
      <c r="AM11" s="62">
        <f t="shared" ca="1" si="0"/>
        <v>187674.9</v>
      </c>
      <c r="AN11" s="62"/>
      <c r="AO11" s="62">
        <f t="shared" ca="1" si="1"/>
        <v>108042.50311472245</v>
      </c>
      <c r="AP11" s="62"/>
      <c r="AQ11" s="62">
        <f t="shared" ca="1" si="8"/>
        <v>581452.3417621078</v>
      </c>
      <c r="AR11" s="62"/>
      <c r="AS11" s="62">
        <f t="shared" ca="1" si="2"/>
        <v>4518547.6582378922</v>
      </c>
      <c r="AT11" s="62"/>
      <c r="AU11" s="62">
        <f t="shared" ca="1" si="3"/>
        <v>187674.9</v>
      </c>
      <c r="AV11" s="62"/>
      <c r="AW11" s="62">
        <f t="shared" ca="1" si="4"/>
        <v>0</v>
      </c>
      <c r="AX11" s="62"/>
      <c r="AY11" s="62">
        <f t="shared" ca="1" si="5"/>
        <v>108042.50311472245</v>
      </c>
      <c r="AZ11" s="62"/>
      <c r="BA11" s="62">
        <f t="shared" ca="1" si="6"/>
        <v>0</v>
      </c>
      <c r="BC11" s="65"/>
    </row>
    <row r="12" spans="2:72" x14ac:dyDescent="0.25">
      <c r="B12" s="72">
        <v>1</v>
      </c>
      <c r="C12" s="46" t="str">
        <f>IF(MONTH($C$9)&gt;1,"",IF(MONTH($C$9)=1,"January",""))</f>
        <v>January</v>
      </c>
      <c r="D12" s="80">
        <f>IF(MONTH($C$9)&gt;1,"",IF(MONTH($C$9)=1,ROUND($D$6*($F$6/12),2),0))</f>
        <v>17425</v>
      </c>
      <c r="E12" s="80">
        <f>IF(F8&lt;$D$8,F8,$D$8-D12)</f>
        <v>2019</v>
      </c>
      <c r="F12" s="80">
        <f>IF(MONTH($C$9)&gt;1,"",IF(MONTH($C$9)=1,$D$6-E12,0))</f>
        <v>5097981</v>
      </c>
      <c r="G12" s="47"/>
      <c r="I12" s="81">
        <f>$D$6*J12/12</f>
        <v>17425</v>
      </c>
      <c r="J12" s="82">
        <f>$F$6</f>
        <v>4.1000000000000002E-2</v>
      </c>
      <c r="K12" s="81"/>
      <c r="L12" s="81">
        <f>MAX($D$6+$D$6*($F$6/100)/12-I12-K12,0)</f>
        <v>5082749.25</v>
      </c>
      <c r="M12" s="83">
        <f>-PMT(($F$6/100)/12,(D7-1),L12,0,0)</f>
        <v>14245.325574919359</v>
      </c>
      <c r="N12" s="84"/>
      <c r="O12" s="72">
        <v>1</v>
      </c>
      <c r="P12" s="46" t="str">
        <f>IF(MONTH($C$9)&gt;1,"",IF(MONTH($C$9)=1,"January",""))</f>
        <v>January</v>
      </c>
      <c r="Q12" s="80">
        <f>IF(O12&lt;$S$7,"",IF(O12=S7,Q6*(S6/12),IPMT($S$6/12,O12-$S$7+1,$Q$7,-$Q$6)))</f>
        <v>0</v>
      </c>
      <c r="R12" s="80">
        <f>IF(O12&lt;$S$7,"",$Q$8-Q12)</f>
        <v>0</v>
      </c>
      <c r="S12" s="80">
        <f>IF(O12&lt;$S$7,"",IF(O12=$S$7,$Q$6-R12,#REF!-R12))</f>
        <v>0</v>
      </c>
      <c r="T12" s="47"/>
      <c r="U12" s="84"/>
      <c r="V12" s="72">
        <v>1</v>
      </c>
      <c r="W12" s="46" t="str">
        <f>IF(MONTH($C$9)&gt;1,"",IF(MONTH($C$9)=1,"January",""))</f>
        <v>January</v>
      </c>
      <c r="X12" s="80" t="e">
        <f>IF(V12&lt;$Z$7,"",($Z$6/12)*$X$6)</f>
        <v>#NAME?</v>
      </c>
      <c r="Y12" s="80"/>
      <c r="Z12" s="80" t="e">
        <f>IF(V12&lt;$S$7,"",$X$6)</f>
        <v>#NAME?</v>
      </c>
      <c r="AA12" s="47"/>
      <c r="AB12" s="84"/>
      <c r="AC12" s="83"/>
      <c r="AD12" s="47" t="str">
        <f>IF(MONTH($AD$9)&gt;1,"",IF(MONTH($AD$9)=1,"January",""))</f>
        <v>January</v>
      </c>
      <c r="AE12" s="80">
        <f>IF(MONTH($AD$9)&gt;1,"",IF(MONTH($AD$9)=1,ROUND($AE$6*($AG$6/1200),2),0))</f>
        <v>0</v>
      </c>
      <c r="AF12" s="80">
        <f>IF(MONTH($AD$9)&gt;1,"",IF(MONTH($AD$9)=1,$AE$8-AE12,0))</f>
        <v>0</v>
      </c>
      <c r="AG12" s="80">
        <f>IF(MONTH($AD$9)&gt;1,"",IF(MONTH($AD$9)=1,$AE$6-AF12,0))</f>
        <v>0</v>
      </c>
      <c r="AH12" s="47"/>
      <c r="AI12" s="61">
        <f t="shared" si="7"/>
        <v>110</v>
      </c>
      <c r="AJ12" s="61">
        <f t="shared" si="7"/>
        <v>109</v>
      </c>
      <c r="AK12" s="44">
        <v>7</v>
      </c>
      <c r="AL12" s="44"/>
      <c r="AM12" s="62">
        <f t="shared" ca="1" si="0"/>
        <v>183160.97</v>
      </c>
      <c r="AN12" s="62"/>
      <c r="AO12" s="62">
        <f t="shared" ca="1" si="1"/>
        <v>112556.43311472244</v>
      </c>
      <c r="AP12" s="62"/>
      <c r="AQ12" s="62">
        <f t="shared" ca="1" si="8"/>
        <v>694008.77487683028</v>
      </c>
      <c r="AR12" s="62"/>
      <c r="AS12" s="62">
        <f t="shared" ca="1" si="2"/>
        <v>4405991.2251231708</v>
      </c>
      <c r="AT12" s="62"/>
      <c r="AU12" s="62">
        <f t="shared" ca="1" si="3"/>
        <v>183160.97</v>
      </c>
      <c r="AV12" s="62"/>
      <c r="AW12" s="62">
        <f t="shared" ca="1" si="4"/>
        <v>0</v>
      </c>
      <c r="AX12" s="62"/>
      <c r="AY12" s="62">
        <f t="shared" ca="1" si="5"/>
        <v>112556.43311472244</v>
      </c>
      <c r="AZ12" s="62"/>
      <c r="BA12" s="62">
        <f t="shared" ca="1" si="6"/>
        <v>0</v>
      </c>
    </row>
    <row r="13" spans="2:72" x14ac:dyDescent="0.25">
      <c r="B13" s="72">
        <v>2</v>
      </c>
      <c r="C13" s="47" t="str">
        <f>IF(MONTH($C$9)&gt;2,"",IF(MONTH($C$9)=2,"February",IF(F12&gt;0.005,"February","")))</f>
        <v>February</v>
      </c>
      <c r="D13" s="80">
        <f>IF(MONTH($C$9)&gt;2,"",IF(MONTH($C$9)&lt;2,ROUND(F12*($F$6/12),2),IF(MONTH($C$9)=2,ROUND($D$6*($F$6/12),2),0)))</f>
        <v>17418.099999999999</v>
      </c>
      <c r="E13" s="80">
        <f t="shared" ref="E13:E23" si="9">IF(F12&lt;$D$8,F12,$D$8-D13)</f>
        <v>7225.0169262268719</v>
      </c>
      <c r="F13" s="80">
        <f>IF(MONTH($C$9)&gt;2,"",IF(MONTH($C$9)=2,$D$6-E13,IF(F12-E13&gt;0,F12-E13,0)))</f>
        <v>5090755.9830737729</v>
      </c>
      <c r="G13" s="47"/>
      <c r="I13" s="81">
        <f t="shared" ref="I13:I23" si="10">L12*J13/12</f>
        <v>17366.059937499998</v>
      </c>
      <c r="J13" s="82">
        <f t="shared" ref="J13:J23" si="11">$F$6</f>
        <v>4.1000000000000002E-2</v>
      </c>
      <c r="K13" s="81"/>
      <c r="L13" s="81">
        <f t="shared" ref="L13:L23" si="12">MAX(L12+L12*($F$6/100)/12-I13-K13,0)</f>
        <v>5065556.8506618747</v>
      </c>
      <c r="M13" s="83">
        <f t="shared" ref="M13:M23" si="13">-PMT(($F$6/100)/12,$D$7-B13,L13,0,0)</f>
        <v>14236.554869684698</v>
      </c>
      <c r="N13" s="84"/>
      <c r="O13" s="72">
        <v>2</v>
      </c>
      <c r="P13" s="47" t="str">
        <f>IF(MONTH($C$9)&gt;2,"",IF(MONTH($C$9)=2,"February",IF(S12&gt;0.005,"February","")))</f>
        <v/>
      </c>
      <c r="Q13" s="80">
        <f>IF(O13&lt;$S$7,"",IF(O13=$S$7,$Q$6*($S$6/12),S12*($S$6/12)))</f>
        <v>0</v>
      </c>
      <c r="R13" s="80">
        <f t="shared" ref="R13:R23" si="14">IF(O13&lt;$S$7,"",$Q$8-Q13)</f>
        <v>0</v>
      </c>
      <c r="S13" s="80">
        <f t="shared" ref="S13:S23" si="15">IF(O13&lt;$S$7,"",IF(O13=$S$7,$Q$6-R13,S12-R13))</f>
        <v>0</v>
      </c>
      <c r="T13" s="47"/>
      <c r="U13" s="84"/>
      <c r="V13" s="72">
        <v>2</v>
      </c>
      <c r="W13" s="47" t="e">
        <f>IF(MONTH($C$9)&gt;2,"",IF(MONTH($C$9)=2,"February",IF(Z12&gt;0.005,"February","")))</f>
        <v>#NAME?</v>
      </c>
      <c r="X13" s="80" t="e">
        <f t="shared" ref="X13:X23" si="16">IF(V13&lt;$Z$7,"",($Z$6/12)*$X$6)</f>
        <v>#NAME?</v>
      </c>
      <c r="Y13" s="80"/>
      <c r="Z13" s="80" t="e">
        <f t="shared" ref="Z13:Z23" si="17">IF(V13&lt;$S$7,"",$X$6)</f>
        <v>#NAME?</v>
      </c>
      <c r="AA13" s="47"/>
      <c r="AB13" s="84"/>
      <c r="AC13" s="83"/>
      <c r="AD13" s="47" t="str">
        <f>IF(MONTH($AD$9)&gt;2,"",IF(MONTH($AD$9)=2,"February",IF(AG12&gt;0.005,"February","")))</f>
        <v/>
      </c>
      <c r="AE13" s="80">
        <f>IF(MONTH($AD$9)&gt;2,"",IF(MONTH($AD$9)=2,ROUND($AE$6*($AG$6/1200),2),IF(AG12&gt;0,ROUND(AG12*($AG$6/1200),2),0)))</f>
        <v>0</v>
      </c>
      <c r="AF13" s="80">
        <f>IF(MONTH($AD$9)&gt;2,"",IF(MONTH($AD$9)=2,$AE$8-AE13,IF(AG12&lt;$AE$8,AG12,$AE$8-AE13)))</f>
        <v>0</v>
      </c>
      <c r="AG13" s="80">
        <f>IF(MONTH($AD$9)&gt;2,"",IF(MONTH($AD$9)=2,$AE$6-AF13,IF(AG12-AF13&gt;0,AG12-AF13,0)))</f>
        <v>0</v>
      </c>
      <c r="AH13" s="47"/>
      <c r="AI13" s="61">
        <f t="shared" si="7"/>
        <v>125</v>
      </c>
      <c r="AJ13" s="61">
        <f t="shared" si="7"/>
        <v>124</v>
      </c>
      <c r="AK13" s="44">
        <v>8</v>
      </c>
      <c r="AL13" s="44"/>
      <c r="AM13" s="62">
        <f t="shared" ca="1" si="0"/>
        <v>178458.41999999998</v>
      </c>
      <c r="AN13" s="62"/>
      <c r="AO13" s="62">
        <f t="shared" ca="1" si="1"/>
        <v>117258.98311472245</v>
      </c>
      <c r="AP13" s="62"/>
      <c r="AQ13" s="62">
        <f t="shared" ca="1" si="8"/>
        <v>811267.7579915527</v>
      </c>
      <c r="AR13" s="62"/>
      <c r="AS13" s="62">
        <f t="shared" ca="1" si="2"/>
        <v>4288732.2420084495</v>
      </c>
      <c r="AT13" s="62"/>
      <c r="AU13" s="62">
        <f t="shared" ca="1" si="3"/>
        <v>178458.41999999998</v>
      </c>
      <c r="AV13" s="62"/>
      <c r="AW13" s="62">
        <f t="shared" ca="1" si="4"/>
        <v>0</v>
      </c>
      <c r="AX13" s="62"/>
      <c r="AY13" s="62">
        <f t="shared" ca="1" si="5"/>
        <v>117258.98311472245</v>
      </c>
      <c r="AZ13" s="62"/>
      <c r="BA13" s="62">
        <f t="shared" ca="1" si="6"/>
        <v>0</v>
      </c>
    </row>
    <row r="14" spans="2:72" x14ac:dyDescent="0.25">
      <c r="B14" s="72">
        <v>3</v>
      </c>
      <c r="C14" s="47" t="str">
        <f>IF(MONTH($C$9)&gt;3,"",IF(MONTH($C$9)=3,"March",IF(F13&gt;0.005,"March","")))</f>
        <v>March</v>
      </c>
      <c r="D14" s="80">
        <f>IF(MONTH($C$9)&gt;3,"",IF(MONTH($C$9)&lt;3,ROUND(F13*($F$6/12),2),IF(MONTH($C$9)=3,ROUND($D$6*($F$6/12),2),0)))</f>
        <v>17393.419999999998</v>
      </c>
      <c r="E14" s="80">
        <f t="shared" si="9"/>
        <v>7249.6969262268722</v>
      </c>
      <c r="F14" s="80">
        <f>IF(MONTH($C$9)&gt;3,"",IF(MONTH($C$9)=3,$D$6-E14,IF(F13-E14&gt;0,F13-E14,0)))</f>
        <v>5083506.286147546</v>
      </c>
      <c r="G14" s="47"/>
      <c r="I14" s="81">
        <f t="shared" si="10"/>
        <v>17307.319239761408</v>
      </c>
      <c r="J14" s="82">
        <f t="shared" si="11"/>
        <v>4.1000000000000002E-2</v>
      </c>
      <c r="K14" s="81"/>
      <c r="L14" s="81">
        <f t="shared" si="12"/>
        <v>5048422.6046145111</v>
      </c>
      <c r="M14" s="83">
        <f t="shared" si="13"/>
        <v>14227.900576339507</v>
      </c>
      <c r="N14" s="84"/>
      <c r="O14" s="72">
        <v>3</v>
      </c>
      <c r="P14" s="47" t="str">
        <f>IF(MONTH($C$9)&gt;3,"",IF(MONTH($C$9)=3,"March",IF(S13&gt;0.005,"March","")))</f>
        <v/>
      </c>
      <c r="Q14" s="80">
        <f t="shared" ref="Q14:Q23" si="18">IF(O14&lt;$S$7,"",IF(O14=$S$7,$Q$6*($S$6/12),S13*($S$6/12)))</f>
        <v>0</v>
      </c>
      <c r="R14" s="80">
        <f t="shared" si="14"/>
        <v>0</v>
      </c>
      <c r="S14" s="80">
        <f t="shared" si="15"/>
        <v>0</v>
      </c>
      <c r="T14" s="47"/>
      <c r="U14" s="84"/>
      <c r="V14" s="72">
        <v>3</v>
      </c>
      <c r="W14" s="47" t="e">
        <f>IF(MONTH($C$9)&gt;3,"",IF(MONTH($C$9)=3,"March",IF(Z13&gt;0.005,"March","")))</f>
        <v>#NAME?</v>
      </c>
      <c r="X14" s="80" t="e">
        <f t="shared" si="16"/>
        <v>#NAME?</v>
      </c>
      <c r="Y14" s="80"/>
      <c r="Z14" s="80" t="e">
        <f t="shared" si="17"/>
        <v>#NAME?</v>
      </c>
      <c r="AA14" s="47"/>
      <c r="AB14" s="84"/>
      <c r="AC14" s="83"/>
      <c r="AD14" s="47" t="str">
        <f>IF(MONTH($AD$9)&gt;3,"",IF(MONTH($AD$9)=3,"March",IF(AG13&gt;0.005,"March","")))</f>
        <v/>
      </c>
      <c r="AE14" s="80">
        <f>IF(MONTH($AD$9)&gt;3,"",IF(MONTH($AD$9)=3,ROUND($AE$6*($AG$6/1200),2),IF(AG13&gt;0,ROUND(AG13*($AG$6/1200),2),0)))</f>
        <v>0</v>
      </c>
      <c r="AF14" s="80">
        <f>IF(MONTH($AD$9)&gt;3,"",IF(MONTH($AD$9)=3,$AE$8-AE14,IF(AG13&lt;$AE$8,AG13,$AE$8-AE14)))</f>
        <v>0</v>
      </c>
      <c r="AG14" s="80">
        <f>IF(MONTH($AD$9)&gt;3,"",IF(MONTH($AD$9)=3,$AE$6-AF14,IF(AG13-AF14&gt;0,AG13-AF14,0)))</f>
        <v>0</v>
      </c>
      <c r="AH14" s="47"/>
      <c r="AI14" s="61">
        <f t="shared" si="7"/>
        <v>140</v>
      </c>
      <c r="AJ14" s="61">
        <f t="shared" si="7"/>
        <v>139</v>
      </c>
      <c r="AK14" s="44">
        <v>9</v>
      </c>
      <c r="AL14" s="44"/>
      <c r="AM14" s="62">
        <f t="shared" ca="1" si="0"/>
        <v>173559.44999999998</v>
      </c>
      <c r="AN14" s="62"/>
      <c r="AO14" s="62">
        <f t="shared" ca="1" si="1"/>
        <v>122157.95311472245</v>
      </c>
      <c r="AP14" s="62"/>
      <c r="AQ14" s="62">
        <f t="shared" ca="1" si="8"/>
        <v>933425.71110627521</v>
      </c>
      <c r="AR14" s="62"/>
      <c r="AS14" s="62">
        <f t="shared" ca="1" si="2"/>
        <v>4166574.2888937281</v>
      </c>
      <c r="AT14" s="62"/>
      <c r="AU14" s="62">
        <f t="shared" ca="1" si="3"/>
        <v>173559.44999999998</v>
      </c>
      <c r="AV14" s="62"/>
      <c r="AW14" s="62">
        <f t="shared" ca="1" si="4"/>
        <v>0</v>
      </c>
      <c r="AX14" s="62"/>
      <c r="AY14" s="62">
        <f t="shared" ca="1" si="5"/>
        <v>122157.95311472245</v>
      </c>
      <c r="AZ14" s="62"/>
      <c r="BA14" s="62">
        <f t="shared" ca="1" si="6"/>
        <v>0</v>
      </c>
    </row>
    <row r="15" spans="2:72" x14ac:dyDescent="0.25">
      <c r="B15" s="72">
        <v>4</v>
      </c>
      <c r="C15" s="47" t="str">
        <f>IF(MONTH($C$9)&gt;4,"",IF(MONTH($C$9)=4,"April",IF(F14&gt;0.005,"April","")))</f>
        <v>April</v>
      </c>
      <c r="D15" s="80">
        <f>IF(MONTH($C$9)&gt;4,"",IF(MONTH($C$9)&lt;4,ROUND(F14*($F$6/12),2),IF(MONTH($C$9)=4,ROUND($D$6*($F$6/12),2),0)))</f>
        <v>17368.650000000001</v>
      </c>
      <c r="E15" s="80">
        <f t="shared" si="9"/>
        <v>7274.466926226869</v>
      </c>
      <c r="F15" s="80">
        <f>IF(MONTH($C$9)&gt;4,"",IF(MONTH($C$9)=4,$D$6-E15,IF(F14-E15&gt;0,F14-E15,0)))</f>
        <v>5076231.8192213187</v>
      </c>
      <c r="G15" s="47"/>
      <c r="I15" s="81">
        <f t="shared" si="10"/>
        <v>17248.777232432913</v>
      </c>
      <c r="J15" s="82">
        <f t="shared" si="11"/>
        <v>4.1000000000000002E-2</v>
      </c>
      <c r="K15" s="81"/>
      <c r="L15" s="81">
        <f t="shared" si="12"/>
        <v>5031346.3151544025</v>
      </c>
      <c r="M15" s="83">
        <f t="shared" si="13"/>
        <v>14219.363111534358</v>
      </c>
      <c r="N15" s="84"/>
      <c r="O15" s="72">
        <v>4</v>
      </c>
      <c r="P15" s="47" t="str">
        <f>IF(MONTH($C$9)&gt;4,"",IF(MONTH($C$9)=4,"April",IF(S14&gt;0.005,"April","")))</f>
        <v/>
      </c>
      <c r="Q15" s="80">
        <f t="shared" si="18"/>
        <v>0</v>
      </c>
      <c r="R15" s="80">
        <f t="shared" si="14"/>
        <v>0</v>
      </c>
      <c r="S15" s="80">
        <f t="shared" si="15"/>
        <v>0</v>
      </c>
      <c r="T15" s="47"/>
      <c r="U15" s="84"/>
      <c r="V15" s="72">
        <v>4</v>
      </c>
      <c r="W15" s="47" t="e">
        <f>IF(MONTH($C$9)&gt;4,"",IF(MONTH($C$9)=4,"April",IF(Z14&gt;0.005,"April","")))</f>
        <v>#NAME?</v>
      </c>
      <c r="X15" s="80" t="e">
        <f t="shared" si="16"/>
        <v>#NAME?</v>
      </c>
      <c r="Y15" s="80"/>
      <c r="Z15" s="80" t="e">
        <f t="shared" si="17"/>
        <v>#NAME?</v>
      </c>
      <c r="AA15" s="47"/>
      <c r="AB15" s="84"/>
      <c r="AC15" s="83"/>
      <c r="AD15" s="47" t="str">
        <f>IF(MONTH($AD$9)&gt;4,"",IF(MONTH($AD$9)=4,"April",IF(AG14&gt;0.005,"April","")))</f>
        <v/>
      </c>
      <c r="AE15" s="80">
        <f>IF(MONTH($AD$9)&gt;4,"",IF(MONTH($AD$9)=4,ROUND($AE$6*($AG$6/1200),2),IF(AG14&gt;0,ROUND(AG14*($AG$6/1200),2),0)))</f>
        <v>0</v>
      </c>
      <c r="AF15" s="80">
        <f>IF(MONTH($AD$9)&gt;4,"",IF(MONTH($AD$9)=4,$AE$8-AE15,IF(AG14&lt;$AE$8,AG14,$AE$8-AE15)))</f>
        <v>0</v>
      </c>
      <c r="AG15" s="80">
        <f>IF(MONTH($AD$9)&gt;4,"",IF(MONTH($AD$9)=4,$AE$6-AF15,IF(AG14-AF15&gt;0,AG14-AF15,0)))</f>
        <v>0</v>
      </c>
      <c r="AH15" s="47"/>
      <c r="AI15" s="61">
        <f t="shared" si="7"/>
        <v>155</v>
      </c>
      <c r="AJ15" s="61">
        <f t="shared" si="7"/>
        <v>154</v>
      </c>
      <c r="AK15" s="44">
        <v>10</v>
      </c>
      <c r="AL15" s="44"/>
      <c r="AM15" s="62">
        <f t="shared" ca="1" si="0"/>
        <v>168455.74999999997</v>
      </c>
      <c r="AN15" s="62"/>
      <c r="AO15" s="62">
        <f t="shared" ca="1" si="1"/>
        <v>127261.65311472245</v>
      </c>
      <c r="AP15" s="62"/>
      <c r="AQ15" s="62">
        <f t="shared" ca="1" si="8"/>
        <v>1060687.3642209976</v>
      </c>
      <c r="AR15" s="62"/>
      <c r="AS15" s="62">
        <f t="shared" ca="1" si="2"/>
        <v>4039312.6357790055</v>
      </c>
      <c r="AT15" s="62"/>
      <c r="AU15" s="62">
        <f t="shared" ca="1" si="3"/>
        <v>168455.74999999997</v>
      </c>
      <c r="AV15" s="62"/>
      <c r="AW15" s="62">
        <f t="shared" ca="1" si="4"/>
        <v>0</v>
      </c>
      <c r="AX15" s="62"/>
      <c r="AY15" s="62">
        <f t="shared" ca="1" si="5"/>
        <v>127261.65311472245</v>
      </c>
      <c r="AZ15" s="62"/>
      <c r="BA15" s="62">
        <f t="shared" ca="1" si="6"/>
        <v>0</v>
      </c>
    </row>
    <row r="16" spans="2:72" x14ac:dyDescent="0.25">
      <c r="B16" s="72">
        <v>5</v>
      </c>
      <c r="C16" s="47" t="str">
        <f>IF(MONTH($C$9)&gt;5,"",IF(MONTH($C$9)=5,"May",IF(F15&gt;0.005,"May","")))</f>
        <v>May</v>
      </c>
      <c r="D16" s="80">
        <f>IF(MONTH($C$9)&gt;5,"",IF(MONTH($C$9)&lt;5,ROUND(F15*($F$6/12),2),IF(MONTH($C$9)=5,ROUND($D$6*($F$6/12),2),0)))</f>
        <v>17343.79</v>
      </c>
      <c r="E16" s="80">
        <f t="shared" si="9"/>
        <v>7299.3269262268695</v>
      </c>
      <c r="F16" s="80">
        <f>IF(MONTH($C$9)&gt;5,"",IF(MONTH($C$9)=5,$D$6-E16,IF(F15-E16&gt;0,F15-E16,0)))</f>
        <v>5068932.492295092</v>
      </c>
      <c r="G16" s="47"/>
      <c r="I16" s="81">
        <f t="shared" si="10"/>
        <v>17190.433243444208</v>
      </c>
      <c r="J16" s="82">
        <f t="shared" si="11"/>
        <v>4.1000000000000002E-2</v>
      </c>
      <c r="K16" s="81"/>
      <c r="L16" s="81">
        <f t="shared" si="12"/>
        <v>5014327.7862433931</v>
      </c>
      <c r="M16" s="83">
        <f t="shared" si="13"/>
        <v>14210.942898538318</v>
      </c>
      <c r="N16" s="84"/>
      <c r="O16" s="72">
        <v>5</v>
      </c>
      <c r="P16" s="47" t="str">
        <f>IF(MONTH($C$9)&gt;5,"",IF(MONTH($C$9)=5,"May",IF(S15&gt;0.005,"May","")))</f>
        <v/>
      </c>
      <c r="Q16" s="80">
        <f t="shared" si="18"/>
        <v>0</v>
      </c>
      <c r="R16" s="80">
        <f t="shared" si="14"/>
        <v>0</v>
      </c>
      <c r="S16" s="80">
        <f t="shared" si="15"/>
        <v>0</v>
      </c>
      <c r="T16" s="47"/>
      <c r="U16" s="84"/>
      <c r="V16" s="72">
        <v>5</v>
      </c>
      <c r="W16" s="47" t="e">
        <f>IF(MONTH($C$9)&gt;5,"",IF(MONTH($C$9)=5,"May",IF(Z15&gt;0.005,"May","")))</f>
        <v>#NAME?</v>
      </c>
      <c r="X16" s="80" t="e">
        <f t="shared" si="16"/>
        <v>#NAME?</v>
      </c>
      <c r="Y16" s="80"/>
      <c r="Z16" s="80" t="e">
        <f t="shared" si="17"/>
        <v>#NAME?</v>
      </c>
      <c r="AA16" s="47"/>
      <c r="AB16" s="84"/>
      <c r="AC16" s="83"/>
      <c r="AD16" s="47" t="str">
        <f>IF(MONTH($AD$9)&gt;5,"",IF(MONTH($AD$9)=5,"May",IF(AG15&gt;0.005,"May","")))</f>
        <v/>
      </c>
      <c r="AE16" s="80">
        <f>IF(MONTH($AD$9)&gt;5,"",IF(MONTH($AD$9)=5,ROUND($AE$6*($AG$6/1200),2),IF(AG15&gt;0,ROUND(AG15*($AG$6/1200),2),0)))</f>
        <v>0</v>
      </c>
      <c r="AF16" s="80">
        <f>IF(MONTH($AD$9)&gt;5,"",IF(MONTH($AD$9)=5,$AE$8-AE16,IF(AG15&lt;$AE$8,AG15,$AE$8-AE16)))</f>
        <v>0</v>
      </c>
      <c r="AG16" s="80">
        <f>IF(MONTH($AD$9)&gt;5,"",IF(MONTH($AD$9)=5,$AE$6-AF16,IF(AG15-AF16&gt;0,AG15-AF16,0)))</f>
        <v>0</v>
      </c>
      <c r="AH16" s="47"/>
      <c r="AI16" s="61">
        <f t="shared" si="7"/>
        <v>170</v>
      </c>
      <c r="AJ16" s="61">
        <f t="shared" si="7"/>
        <v>169</v>
      </c>
      <c r="AK16" s="44">
        <v>11</v>
      </c>
      <c r="AL16" s="44"/>
      <c r="AM16" s="62">
        <f t="shared" ca="1" si="0"/>
        <v>163138.85999999999</v>
      </c>
      <c r="AN16" s="62"/>
      <c r="AO16" s="62">
        <f t="shared" ca="1" si="1"/>
        <v>132578.54311472244</v>
      </c>
      <c r="AP16" s="62"/>
      <c r="AQ16" s="62">
        <f t="shared" ca="1" si="8"/>
        <v>1193265.90733572</v>
      </c>
      <c r="AR16" s="62"/>
      <c r="AS16" s="62">
        <f t="shared" ca="1" si="2"/>
        <v>3906734.0926642832</v>
      </c>
      <c r="AT16" s="62"/>
      <c r="AU16" s="62">
        <f t="shared" ca="1" si="3"/>
        <v>163138.85999999999</v>
      </c>
      <c r="AV16" s="62"/>
      <c r="AW16" s="62">
        <f t="shared" ca="1" si="4"/>
        <v>0</v>
      </c>
      <c r="AX16" s="62"/>
      <c r="AY16" s="62">
        <f t="shared" ca="1" si="5"/>
        <v>132578.54311472244</v>
      </c>
      <c r="AZ16" s="62"/>
      <c r="BA16" s="62">
        <f t="shared" ca="1" si="6"/>
        <v>0</v>
      </c>
    </row>
    <row r="17" spans="2:53" x14ac:dyDescent="0.25">
      <c r="B17" s="72">
        <v>6</v>
      </c>
      <c r="C17" s="47" t="str">
        <f>IF(MONTH($C$9)&gt;6,"",IF(MONTH($C$9)=6,"June",IF(F16&gt;0.005,"June","")))</f>
        <v>June</v>
      </c>
      <c r="D17" s="80">
        <f>IF(MONTH($C$9)&gt;6,"",IF(MONTH($C$9)&lt;6,ROUND(F16*($F$6/12),2),IF(MONTH($C$9)=6,ROUND($D$6*($F$6/12),2),0)))</f>
        <v>17318.849999999999</v>
      </c>
      <c r="E17" s="80">
        <f t="shared" si="9"/>
        <v>7324.2669262268719</v>
      </c>
      <c r="F17" s="80">
        <f>IF(MONTH($C$9)&gt;6,"",IF(MONTH($C$9)=6,$D$6-E17,IF(F16-E17&gt;0,F16-E17,0)))</f>
        <v>5061608.2253688648</v>
      </c>
      <c r="G17" s="47"/>
      <c r="I17" s="81">
        <f t="shared" si="10"/>
        <v>17132.286602998262</v>
      </c>
      <c r="J17" s="82">
        <f t="shared" si="11"/>
        <v>4.1000000000000002E-2</v>
      </c>
      <c r="K17" s="81"/>
      <c r="L17" s="81">
        <f t="shared" si="12"/>
        <v>4997366.822506425</v>
      </c>
      <c r="M17" s="83">
        <f t="shared" si="13"/>
        <v>14202.640367325896</v>
      </c>
      <c r="N17" s="84"/>
      <c r="O17" s="72">
        <v>6</v>
      </c>
      <c r="P17" s="47" t="str">
        <f>IF(MONTH($C$9)&gt;6,"",IF(MONTH($C$9)=6,"June",IF(S16&gt;0.005,"June","")))</f>
        <v/>
      </c>
      <c r="Q17" s="80">
        <f t="shared" si="18"/>
        <v>0</v>
      </c>
      <c r="R17" s="80">
        <f t="shared" si="14"/>
        <v>0</v>
      </c>
      <c r="S17" s="80">
        <f t="shared" si="15"/>
        <v>0</v>
      </c>
      <c r="T17" s="47"/>
      <c r="U17" s="84"/>
      <c r="V17" s="72">
        <v>6</v>
      </c>
      <c r="W17" s="47" t="e">
        <f>IF(MONTH($C$9)&gt;6,"",IF(MONTH($C$9)=6,"June",IF(Z16&gt;0.005,"June","")))</f>
        <v>#NAME?</v>
      </c>
      <c r="X17" s="80" t="e">
        <f t="shared" si="16"/>
        <v>#NAME?</v>
      </c>
      <c r="Y17" s="80"/>
      <c r="Z17" s="80" t="e">
        <f t="shared" si="17"/>
        <v>#NAME?</v>
      </c>
      <c r="AA17" s="47"/>
      <c r="AB17" s="84"/>
      <c r="AC17" s="83"/>
      <c r="AD17" s="47" t="str">
        <f>IF(MONTH($AD$9)&gt;6,"",IF(MONTH($AD$9)=6,"June",IF(AG16&gt;0.005,"June","")))</f>
        <v/>
      </c>
      <c r="AE17" s="80">
        <f>IF(MONTH($AD$9)&gt;6,"",IF(MONTH($AD$9)=6,ROUND($AE$6*($AG$6/1200),2),IF(AG16&gt;0,ROUND(AG16*($AG$6/1200),2),0)))</f>
        <v>0</v>
      </c>
      <c r="AF17" s="80">
        <f>IF(MONTH($AD$9)&gt;6,"",IF(MONTH($AD$9)=6,$AE$8-AE17,IF(AG16&lt;$AE$8,AG16,$AE$8-AE17)))</f>
        <v>0</v>
      </c>
      <c r="AG17" s="80">
        <f>IF(MONTH($AD$9)&gt;6,"",IF(MONTH($AD$9)=6,$AE$6-AF17,IF(AG16-AF17&gt;0,AG16-AF17,0)))</f>
        <v>0</v>
      </c>
      <c r="AH17" s="47"/>
      <c r="AI17" s="61">
        <f t="shared" si="7"/>
        <v>185</v>
      </c>
      <c r="AJ17" s="61">
        <f t="shared" si="7"/>
        <v>184</v>
      </c>
      <c r="AK17" s="44">
        <v>12</v>
      </c>
      <c r="AL17" s="44"/>
      <c r="AM17" s="62">
        <f t="shared" ca="1" si="0"/>
        <v>157599.82000000004</v>
      </c>
      <c r="AN17" s="62"/>
      <c r="AO17" s="62">
        <f t="shared" ca="1" si="1"/>
        <v>138117.58311472245</v>
      </c>
      <c r="AP17" s="62"/>
      <c r="AQ17" s="62">
        <f t="shared" ca="1" si="8"/>
        <v>1331383.4904504425</v>
      </c>
      <c r="AR17" s="62"/>
      <c r="AS17" s="62">
        <f t="shared" ca="1" si="2"/>
        <v>3768616.5095495614</v>
      </c>
      <c r="AT17" s="62"/>
      <c r="AU17" s="62">
        <f t="shared" ca="1" si="3"/>
        <v>157599.82000000004</v>
      </c>
      <c r="AV17" s="62"/>
      <c r="AW17" s="62">
        <f t="shared" ca="1" si="4"/>
        <v>0</v>
      </c>
      <c r="AX17" s="62"/>
      <c r="AY17" s="62">
        <f t="shared" ca="1" si="5"/>
        <v>138117.58311472245</v>
      </c>
      <c r="AZ17" s="62"/>
      <c r="BA17" s="62">
        <f t="shared" ca="1" si="6"/>
        <v>0</v>
      </c>
    </row>
    <row r="18" spans="2:53" x14ac:dyDescent="0.25">
      <c r="B18" s="72">
        <v>7</v>
      </c>
      <c r="C18" s="47" t="str">
        <f>IF(MONTH($C$9)&gt;7,"",IF(MONTH($C$9)=7,"July",IF(F17&gt;0.005,"July","")))</f>
        <v>July</v>
      </c>
      <c r="D18" s="80">
        <f>IF(MONTH($C$9)&gt;7,"",IF(MONTH($C$9)&lt;7,ROUND(F17*($F$6/12),2),IF(MONTH($C$9)=7,ROUND($D$6*($F$6/12),2),0)))</f>
        <v>17293.830000000002</v>
      </c>
      <c r="E18" s="80">
        <f t="shared" si="9"/>
        <v>7349.2869262268687</v>
      </c>
      <c r="F18" s="80">
        <f>IF(MONTH($C$9)&gt;7,"",IF(MONTH($C$9)=7,$D$6-E18,IF(F17-E18&gt;0,F17-E18,0)))</f>
        <v>5054258.9384426381</v>
      </c>
      <c r="G18" s="47"/>
      <c r="I18" s="81">
        <f t="shared" si="10"/>
        <v>17074.33664356362</v>
      </c>
      <c r="J18" s="82">
        <f t="shared" si="11"/>
        <v>4.1000000000000002E-2</v>
      </c>
      <c r="K18" s="81"/>
      <c r="L18" s="81">
        <f t="shared" si="12"/>
        <v>4980463.2292292975</v>
      </c>
      <c r="M18" s="83">
        <f t="shared" si="13"/>
        <v>14194.455954665442</v>
      </c>
      <c r="N18" s="84"/>
      <c r="O18" s="72">
        <v>7</v>
      </c>
      <c r="P18" s="47" t="str">
        <f>IF(MONTH($C$9)&gt;7,"",IF(MONTH($C$9)=7,"July",IF(S17&gt;0.005,"July","")))</f>
        <v/>
      </c>
      <c r="Q18" s="80">
        <f t="shared" si="18"/>
        <v>0</v>
      </c>
      <c r="R18" s="80">
        <f t="shared" si="14"/>
        <v>0</v>
      </c>
      <c r="S18" s="80">
        <f t="shared" si="15"/>
        <v>0</v>
      </c>
      <c r="T18" s="47"/>
      <c r="U18" s="84"/>
      <c r="V18" s="72">
        <v>7</v>
      </c>
      <c r="W18" s="47" t="e">
        <f>IF(MONTH($C$9)&gt;7,"",IF(MONTH($C$9)=7,"July",IF(Z17&gt;0.005,"July","")))</f>
        <v>#NAME?</v>
      </c>
      <c r="X18" s="80" t="e">
        <f t="shared" si="16"/>
        <v>#NAME?</v>
      </c>
      <c r="Y18" s="80"/>
      <c r="Z18" s="80" t="e">
        <f t="shared" si="17"/>
        <v>#NAME?</v>
      </c>
      <c r="AA18" s="47"/>
      <c r="AB18" s="84"/>
      <c r="AC18" s="83"/>
      <c r="AD18" s="47" t="str">
        <f>IF(MONTH($AD$9)&gt;7,"",IF(MONTH($AD$9)=7,"July",IF(AG17&gt;0.005,"July","")))</f>
        <v/>
      </c>
      <c r="AE18" s="80">
        <f>IF(MONTH($AD$9)&gt;7,"",IF(MONTH($AD$9)=7,ROUND($AE$6*($AG$6/1200),2),IF(AG17&gt;0,ROUND(AG17*($AG$6/1200),2),0)))</f>
        <v>0</v>
      </c>
      <c r="AF18" s="80">
        <f>IF(MONTH($AD$9)&gt;7,"",IF(MONTH($AD$9)=7,$AE$8-AE18,IF(AG17&lt;$AE$8,AG17,$AE$8-AE18)))</f>
        <v>0</v>
      </c>
      <c r="AG18" s="80">
        <f>IF(MONTH($AD$9)&gt;7,"",IF(MONTH($AD$9)=7,$AE$6-AF18,IF(AG17-AF18&gt;0,AG17-AF18,0)))</f>
        <v>0</v>
      </c>
      <c r="AH18" s="47"/>
      <c r="AI18" s="61">
        <f t="shared" si="7"/>
        <v>200</v>
      </c>
      <c r="AJ18" s="61">
        <f t="shared" si="7"/>
        <v>199</v>
      </c>
      <c r="AK18" s="44">
        <v>13</v>
      </c>
      <c r="AL18" s="44"/>
      <c r="AM18" s="62">
        <f t="shared" ca="1" si="0"/>
        <v>151829.36000000002</v>
      </c>
      <c r="AN18" s="62"/>
      <c r="AO18" s="62">
        <f t="shared" ca="1" si="1"/>
        <v>143888.04311472244</v>
      </c>
      <c r="AP18" s="62"/>
      <c r="AQ18" s="62">
        <f t="shared" ca="1" si="8"/>
        <v>1475271.533565165</v>
      </c>
      <c r="AR18" s="62"/>
      <c r="AS18" s="62">
        <f t="shared" ca="1" si="2"/>
        <v>3624728.4664348401</v>
      </c>
      <c r="AT18" s="62"/>
      <c r="AU18" s="62">
        <f t="shared" ca="1" si="3"/>
        <v>151829.36000000002</v>
      </c>
      <c r="AV18" s="62"/>
      <c r="AW18" s="62">
        <f t="shared" ca="1" si="4"/>
        <v>0</v>
      </c>
      <c r="AX18" s="62"/>
      <c r="AY18" s="62">
        <f t="shared" ca="1" si="5"/>
        <v>143888.04311472244</v>
      </c>
      <c r="AZ18" s="62"/>
      <c r="BA18" s="62">
        <f t="shared" ca="1" si="6"/>
        <v>0</v>
      </c>
    </row>
    <row r="19" spans="2:53" x14ac:dyDescent="0.25">
      <c r="B19" s="72">
        <v>8</v>
      </c>
      <c r="C19" s="47" t="str">
        <f>IF(MONTH($C$9)&gt;8,"",IF(MONTH($C$9)=8,"August",IF(F18&gt;0.005,"August","")))</f>
        <v>August</v>
      </c>
      <c r="D19" s="80">
        <f>IF(MONTH($C$9)&gt;8,"",IF(MONTH($C$9)&lt;8,ROUND(F18*($F$6/12),2),IF(MONTH($C$9)=8,ROUND($D$6*($F$6/12),2),0)))</f>
        <v>17268.72</v>
      </c>
      <c r="E19" s="80">
        <f t="shared" si="9"/>
        <v>7374.3969262268693</v>
      </c>
      <c r="F19" s="80">
        <f>IF(MONTH($C$9)&gt;8,"",IF(MONTH($C$9)=8,$D$6-E19,IF(F18-E19&gt;0,F18-E19,0)))</f>
        <v>5046884.5415164111</v>
      </c>
      <c r="G19" s="47"/>
      <c r="I19" s="81">
        <f t="shared" si="10"/>
        <v>17016.582699866765</v>
      </c>
      <c r="J19" s="82">
        <f t="shared" si="11"/>
        <v>4.1000000000000002E-2</v>
      </c>
      <c r="K19" s="81"/>
      <c r="L19" s="81">
        <f t="shared" si="12"/>
        <v>4963616.8123564292</v>
      </c>
      <c r="M19" s="83">
        <f t="shared" si="13"/>
        <v>14186.390104209118</v>
      </c>
      <c r="N19" s="84"/>
      <c r="O19" s="72">
        <v>8</v>
      </c>
      <c r="P19" s="47" t="str">
        <f>IF(MONTH($C$9)&gt;8,"",IF(MONTH($C$9)=8,"August",IF(S18&gt;0.005,"August","")))</f>
        <v/>
      </c>
      <c r="Q19" s="80">
        <f t="shared" si="18"/>
        <v>0</v>
      </c>
      <c r="R19" s="80">
        <f t="shared" si="14"/>
        <v>0</v>
      </c>
      <c r="S19" s="80">
        <f t="shared" si="15"/>
        <v>0</v>
      </c>
      <c r="T19" s="47"/>
      <c r="U19" s="84"/>
      <c r="V19" s="72">
        <v>8</v>
      </c>
      <c r="W19" s="47" t="e">
        <f>IF(MONTH($C$9)&gt;8,"",IF(MONTH($C$9)=8,"August",IF(Z18&gt;0.005,"August","")))</f>
        <v>#NAME?</v>
      </c>
      <c r="X19" s="80" t="e">
        <f t="shared" si="16"/>
        <v>#NAME?</v>
      </c>
      <c r="Y19" s="80"/>
      <c r="Z19" s="80" t="e">
        <f t="shared" si="17"/>
        <v>#NAME?</v>
      </c>
      <c r="AA19" s="47"/>
      <c r="AB19" s="84"/>
      <c r="AC19" s="83"/>
      <c r="AD19" s="47" t="str">
        <f>IF(MONTH($AD$9)&gt;8,"",IF(MONTH($AD$9)=8,"August",IF(AG18&gt;0.005,"August","")))</f>
        <v/>
      </c>
      <c r="AE19" s="80">
        <f>IF(MONTH($AD$9)&gt;8,"",IF(MONTH($AD$9)=8,ROUND($AE$6*($AG$6/1200),2),IF(AG18&gt;0,ROUND(AG18*($AG$6/1200),2),0)))</f>
        <v>0</v>
      </c>
      <c r="AF19" s="80">
        <f>IF(MONTH($AD$9)&gt;8,"",IF(MONTH($AD$9)=8,$AE$8-AE19,IF(AG18&lt;$AE$8,AG18,$AE$8-AE19)))</f>
        <v>0</v>
      </c>
      <c r="AG19" s="80">
        <f>IF(MONTH($AD$9)&gt;8,"",IF(MONTH($AD$9)=8,$AE$6-AF19,IF(AG18-AF19&gt;0,AG18-AF19,0)))</f>
        <v>0</v>
      </c>
      <c r="AH19" s="47"/>
      <c r="AI19" s="61">
        <f t="shared" si="7"/>
        <v>215</v>
      </c>
      <c r="AJ19" s="61">
        <f t="shared" si="7"/>
        <v>214</v>
      </c>
      <c r="AK19" s="44">
        <v>14</v>
      </c>
      <c r="AL19" s="44"/>
      <c r="AM19" s="62">
        <f t="shared" ca="1" si="0"/>
        <v>145817.82</v>
      </c>
      <c r="AN19" s="62"/>
      <c r="AO19" s="62">
        <f t="shared" ca="1" si="1"/>
        <v>149899.58311472245</v>
      </c>
      <c r="AP19" s="62"/>
      <c r="AQ19" s="62">
        <f t="shared" ca="1" si="8"/>
        <v>1625171.1166798875</v>
      </c>
      <c r="AR19" s="62"/>
      <c r="AS19" s="62">
        <f t="shared" ca="1" si="2"/>
        <v>3474828.8833201169</v>
      </c>
      <c r="AT19" s="62"/>
      <c r="AU19" s="62">
        <f t="shared" ca="1" si="3"/>
        <v>145817.82</v>
      </c>
      <c r="AV19" s="62"/>
      <c r="AW19" s="62">
        <f t="shared" ca="1" si="4"/>
        <v>0</v>
      </c>
      <c r="AX19" s="62"/>
      <c r="AY19" s="62">
        <f t="shared" ca="1" si="5"/>
        <v>149899.58311472245</v>
      </c>
      <c r="AZ19" s="62"/>
      <c r="BA19" s="62">
        <f t="shared" ca="1" si="6"/>
        <v>0</v>
      </c>
    </row>
    <row r="20" spans="2:53" x14ac:dyDescent="0.25">
      <c r="B20" s="72">
        <v>9</v>
      </c>
      <c r="C20" s="47" t="str">
        <f>IF(MONTH($C$9)&gt;9,"",IF(MONTH($C$9)=9,"September",IF(F19&gt;0.005,"September","")))</f>
        <v>September</v>
      </c>
      <c r="D20" s="80">
        <f>IF(MONTH($C$9)&gt;9,"",IF(MONTH($C$9)&lt;9,ROUND(F19*($F$6/12),2),IF(MONTH($C$9)=9,ROUND($D$6*($F$6/12),2),0)))</f>
        <v>17243.52</v>
      </c>
      <c r="E20" s="80">
        <f t="shared" si="9"/>
        <v>7399.59692622687</v>
      </c>
      <c r="F20" s="80">
        <f>IF(MONTH($C$9)&gt;9,"",IF(MONTH($C$9)=9,$D$6-E20,IF(F19-E20&gt;0,F19-E20,0)))</f>
        <v>5039484.9445901839</v>
      </c>
      <c r="G20" s="47"/>
      <c r="I20" s="81">
        <f t="shared" si="10"/>
        <v>16959.024108884467</v>
      </c>
      <c r="J20" s="82">
        <f t="shared" si="11"/>
        <v>4.1000000000000002E-2</v>
      </c>
      <c r="K20" s="81"/>
      <c r="L20" s="81">
        <f t="shared" si="12"/>
        <v>4946827.3784886329</v>
      </c>
      <c r="M20" s="83">
        <f t="shared" si="13"/>
        <v>14178.443266584414</v>
      </c>
      <c r="N20" s="84"/>
      <c r="O20" s="72">
        <v>9</v>
      </c>
      <c r="P20" s="47" t="str">
        <f>IF(MONTH($C$9)&gt;9,"",IF(MONTH($C$9)=9,"September",IF(S19&gt;0.005,"September","")))</f>
        <v/>
      </c>
      <c r="Q20" s="80">
        <f t="shared" si="18"/>
        <v>0</v>
      </c>
      <c r="R20" s="80">
        <f t="shared" si="14"/>
        <v>0</v>
      </c>
      <c r="S20" s="80">
        <f t="shared" si="15"/>
        <v>0</v>
      </c>
      <c r="T20" s="47"/>
      <c r="U20" s="84"/>
      <c r="V20" s="72">
        <v>9</v>
      </c>
      <c r="W20" s="47" t="e">
        <f>IF(MONTH($C$9)&gt;9,"",IF(MONTH($C$9)=9,"September",IF(Z19&gt;0.005,"September","")))</f>
        <v>#NAME?</v>
      </c>
      <c r="X20" s="80" t="e">
        <f t="shared" si="16"/>
        <v>#NAME?</v>
      </c>
      <c r="Y20" s="80"/>
      <c r="Z20" s="80" t="e">
        <f t="shared" si="17"/>
        <v>#NAME?</v>
      </c>
      <c r="AA20" s="47"/>
      <c r="AB20" s="84"/>
      <c r="AC20" s="83"/>
      <c r="AD20" s="47" t="str">
        <f>IF(MONTH($AD$9)&gt;9,"",IF(MONTH($AD$9)=9,"September",IF(AG19&gt;0.005,"September","")))</f>
        <v/>
      </c>
      <c r="AE20" s="80">
        <f>IF(MONTH($AD$9)&gt;9,"",IF(MONTH($AD$9)=9,ROUND($AE$6*($AG$6/1200),2),IF(AG19&gt;0,ROUND(AG19*($AG$6/1200),2),0)))</f>
        <v>0</v>
      </c>
      <c r="AF20" s="80">
        <f>IF(MONTH($AD$9)&gt;9,"",IF(MONTH($AD$9)=9,$AE$8-AE20,IF(AG19&lt;$AE$8,AG19,$AE$8-AE20)))</f>
        <v>0</v>
      </c>
      <c r="AG20" s="80">
        <f>IF(MONTH($AD$9)&gt;9,"",IF(MONTH($AD$9)=9,$AE$6-AF20,IF(AG19-AF20&gt;0,AG19-AF20,0)))</f>
        <v>0</v>
      </c>
      <c r="AH20" s="47"/>
      <c r="AI20" s="61">
        <f t="shared" si="7"/>
        <v>230</v>
      </c>
      <c r="AJ20" s="61">
        <f t="shared" si="7"/>
        <v>229</v>
      </c>
      <c r="AK20" s="44">
        <v>15</v>
      </c>
      <c r="AL20" s="44"/>
      <c r="AM20" s="62">
        <f t="shared" ca="1" si="0"/>
        <v>139555.12</v>
      </c>
      <c r="AN20" s="62"/>
      <c r="AO20" s="62">
        <f t="shared" ca="1" si="1"/>
        <v>156162.28311472244</v>
      </c>
      <c r="AP20" s="62"/>
      <c r="AQ20" s="62">
        <f t="shared" ca="1" si="8"/>
        <v>1781333.39979461</v>
      </c>
      <c r="AR20" s="62"/>
      <c r="AS20" s="62">
        <f t="shared" ca="1" si="2"/>
        <v>3318666.6002053949</v>
      </c>
      <c r="AT20" s="62"/>
      <c r="AU20" s="62">
        <f t="shared" ca="1" si="3"/>
        <v>139555.12</v>
      </c>
      <c r="AV20" s="62"/>
      <c r="AW20" s="62">
        <f t="shared" ca="1" si="4"/>
        <v>0</v>
      </c>
      <c r="AX20" s="62"/>
      <c r="AY20" s="62">
        <f t="shared" ca="1" si="5"/>
        <v>156162.28311472244</v>
      </c>
      <c r="AZ20" s="62"/>
      <c r="BA20" s="62">
        <f t="shared" ca="1" si="6"/>
        <v>0</v>
      </c>
    </row>
    <row r="21" spans="2:53" x14ac:dyDescent="0.25">
      <c r="B21" s="72">
        <v>10</v>
      </c>
      <c r="C21" s="47" t="str">
        <f>IF(MONTH($C$9)&gt;10,"",IF(MONTH($C$9)=10,"October",IF(F20&gt;0.005,"October","")))</f>
        <v>October</v>
      </c>
      <c r="D21" s="80">
        <f>IF(MONTH($C$9)&gt;10,"",IF(MONTH($C$9)&lt;10,ROUND(F20*($F$6/12),2),IF(MONTH($C$9)=10,ROUND($D$6*($F$6/12),2),0)))</f>
        <v>17218.240000000002</v>
      </c>
      <c r="E21" s="80">
        <f t="shared" si="9"/>
        <v>7424.8769262268688</v>
      </c>
      <c r="F21" s="80">
        <f>IF(MONTH($C$9)&gt;10,"",IF(MONTH($C$9)=10,$D$6-E21,IF(F20-E21&gt;0,F20-E21,0)))</f>
        <v>5032060.0676639574</v>
      </c>
      <c r="G21" s="47"/>
      <c r="I21" s="81">
        <f t="shared" si="10"/>
        <v>16901.660209836162</v>
      </c>
      <c r="J21" s="82">
        <f t="shared" si="11"/>
        <v>4.1000000000000002E-2</v>
      </c>
      <c r="K21" s="81"/>
      <c r="L21" s="81">
        <f t="shared" si="12"/>
        <v>4930094.7348808944</v>
      </c>
      <c r="M21" s="83">
        <f t="shared" si="13"/>
        <v>14170.615899487229</v>
      </c>
      <c r="N21" s="84"/>
      <c r="O21" s="72">
        <v>10</v>
      </c>
      <c r="P21" s="47" t="str">
        <f>IF(MONTH($C$9)&gt;10,"",IF(MONTH($C$9)=10,"October",IF(S20&gt;0.005,"October","")))</f>
        <v/>
      </c>
      <c r="Q21" s="80">
        <f t="shared" si="18"/>
        <v>0</v>
      </c>
      <c r="R21" s="80">
        <f t="shared" si="14"/>
        <v>0</v>
      </c>
      <c r="S21" s="80">
        <f t="shared" si="15"/>
        <v>0</v>
      </c>
      <c r="T21" s="47"/>
      <c r="U21" s="84"/>
      <c r="V21" s="72">
        <v>10</v>
      </c>
      <c r="W21" s="47" t="e">
        <f>IF(MONTH($C$9)&gt;10,"",IF(MONTH($C$9)=10,"October",IF(Z20&gt;0.005,"October","")))</f>
        <v>#NAME?</v>
      </c>
      <c r="X21" s="80" t="e">
        <f t="shared" si="16"/>
        <v>#NAME?</v>
      </c>
      <c r="Y21" s="80"/>
      <c r="Z21" s="80" t="e">
        <f t="shared" si="17"/>
        <v>#NAME?</v>
      </c>
      <c r="AA21" s="47"/>
      <c r="AB21" s="84"/>
      <c r="AC21" s="83"/>
      <c r="AD21" s="47" t="str">
        <f>IF(MONTH($AD$9)&gt;10,"",IF(MONTH($AD$9)=10,"October",IF(AG20&gt;0.005,"October","")))</f>
        <v/>
      </c>
      <c r="AE21" s="80">
        <f>IF(MONTH($AD$9)&gt;10,"",IF(MONTH($AD$9)=10,ROUND($AE$6*($AG$6/1200),2),IF(AG20&gt;0,ROUND(AG20*($AG$6/1200),2),0)))</f>
        <v>0</v>
      </c>
      <c r="AF21" s="80">
        <f>IF(MONTH($AD$9)&gt;10,"",IF(MONTH($AD$9)=10,$AE$8-AE21,IF(AG20&lt;$AE$8,AG20,$AE$8-AE21)))</f>
        <v>0</v>
      </c>
      <c r="AG21" s="80">
        <f>IF(MONTH($AD$9)&gt;10,"",IF(MONTH($AD$9)=10,$AE$6-AF21,IF(AG20-AF21&gt;0,AG20-AF21,0)))</f>
        <v>0</v>
      </c>
      <c r="AH21" s="47"/>
      <c r="AI21" s="61">
        <f t="shared" si="7"/>
        <v>245</v>
      </c>
      <c r="AJ21" s="61">
        <f t="shared" si="7"/>
        <v>244</v>
      </c>
      <c r="AK21" s="44">
        <v>16</v>
      </c>
      <c r="AL21" s="44"/>
      <c r="AM21" s="62">
        <f t="shared" ca="1" si="0"/>
        <v>133030.78</v>
      </c>
      <c r="AN21" s="62"/>
      <c r="AO21" s="62">
        <f t="shared" ca="1" si="1"/>
        <v>162686.62311472246</v>
      </c>
      <c r="AP21" s="62"/>
      <c r="AQ21" s="62">
        <f t="shared" ca="1" si="8"/>
        <v>1944020.0229093325</v>
      </c>
      <c r="AR21" s="62"/>
      <c r="AS21" s="62">
        <f t="shared" ca="1" si="2"/>
        <v>3155979.9770906721</v>
      </c>
      <c r="AT21" s="62"/>
      <c r="AU21" s="62">
        <f t="shared" ca="1" si="3"/>
        <v>133030.78</v>
      </c>
      <c r="AV21" s="62"/>
      <c r="AW21" s="62">
        <f t="shared" ca="1" si="4"/>
        <v>0</v>
      </c>
      <c r="AX21" s="62"/>
      <c r="AY21" s="62">
        <f t="shared" ca="1" si="5"/>
        <v>162686.62311472246</v>
      </c>
      <c r="AZ21" s="62"/>
      <c r="BA21" s="62">
        <f t="shared" ca="1" si="6"/>
        <v>0</v>
      </c>
    </row>
    <row r="22" spans="2:53" x14ac:dyDescent="0.25">
      <c r="B22" s="72">
        <v>11</v>
      </c>
      <c r="C22" s="47" t="str">
        <f>IF(MONTH($C$9)&gt;11,"",IF(MONTH($C$9)=11,"November",IF(F21&gt;0.005,"November","")))</f>
        <v>November</v>
      </c>
      <c r="D22" s="80">
        <f>IF(MONTH($C$9)&gt;11,"",IF(MONTH($C$9)&lt;11,ROUND(F21*($F$6/12),2),IF(MONTH($C$9)=11,ROUND($D$6*($F$6/12),2),0)))</f>
        <v>17192.87</v>
      </c>
      <c r="E22" s="80">
        <f t="shared" si="9"/>
        <v>7450.2469262268714</v>
      </c>
      <c r="F22" s="80">
        <f>IF(MONTH($C$9)&gt;11,"",IF(MONTH($C$9)=11,$D$6-E22,IF(F21-E22&gt;0,F21-E22,0)))</f>
        <v>5024609.8207377307</v>
      </c>
      <c r="G22" s="47"/>
      <c r="I22" s="81">
        <f t="shared" si="10"/>
        <v>16844.490344176389</v>
      </c>
      <c r="J22" s="82">
        <f t="shared" si="11"/>
        <v>4.1000000000000002E-2</v>
      </c>
      <c r="K22" s="81"/>
      <c r="L22" s="81">
        <f t="shared" si="12"/>
        <v>4913418.6894401601</v>
      </c>
      <c r="M22" s="83">
        <f t="shared" si="13"/>
        <v>14162.90846777663</v>
      </c>
      <c r="N22" s="84"/>
      <c r="O22" s="72">
        <v>11</v>
      </c>
      <c r="P22" s="47" t="str">
        <f>IF(MONTH($C$9)&gt;11,"",IF(MONTH($C$9)=11,"November",IF(S21&gt;0.005,"November","")))</f>
        <v/>
      </c>
      <c r="Q22" s="80">
        <f t="shared" si="18"/>
        <v>0</v>
      </c>
      <c r="R22" s="80">
        <f t="shared" si="14"/>
        <v>0</v>
      </c>
      <c r="S22" s="80">
        <f t="shared" si="15"/>
        <v>0</v>
      </c>
      <c r="T22" s="47"/>
      <c r="U22" s="84"/>
      <c r="V22" s="72">
        <v>11</v>
      </c>
      <c r="W22" s="47" t="e">
        <f>IF(MONTH($C$9)&gt;11,"",IF(MONTH($C$9)=11,"November",IF(Z21&gt;0.005,"November","")))</f>
        <v>#NAME?</v>
      </c>
      <c r="X22" s="80" t="e">
        <f t="shared" si="16"/>
        <v>#NAME?</v>
      </c>
      <c r="Y22" s="80"/>
      <c r="Z22" s="80" t="e">
        <f t="shared" si="17"/>
        <v>#NAME?</v>
      </c>
      <c r="AA22" s="47"/>
      <c r="AB22" s="84"/>
      <c r="AC22" s="83"/>
      <c r="AD22" s="47" t="str">
        <f>IF(MONTH($AD$9)&gt;11,"",IF(MONTH($AD$9)=11,"November",IF(AG21&gt;0.005,"November","")))</f>
        <v/>
      </c>
      <c r="AE22" s="80">
        <f>IF(MONTH($AD$9)&gt;11,"",IF(MONTH($AD$9)=11,ROUND($AE$6*($AG$6/1200),2),IF(AG21&gt;0,ROUND(AG21*($AG$6/1200),2),0)))</f>
        <v>0</v>
      </c>
      <c r="AF22" s="80">
        <f>IF(MONTH($AD$9)&gt;11,"",IF(MONTH($AD$9)=11,$AE$8-AE22,IF(AG21&lt;$AE$8,AG21,$AE$8-AE22)))</f>
        <v>0</v>
      </c>
      <c r="AG22" s="80">
        <f>IF(MONTH($AD$9)&gt;11,"",IF(MONTH($AD$9)=11,$AE$6-AF22,IF(AG21-AF22&gt;0,AG21-AF22,0)))</f>
        <v>0</v>
      </c>
      <c r="AH22" s="47"/>
      <c r="AI22" s="61">
        <f t="shared" si="7"/>
        <v>260</v>
      </c>
      <c r="AJ22" s="61">
        <f t="shared" si="7"/>
        <v>259</v>
      </c>
      <c r="AK22" s="44">
        <v>17</v>
      </c>
      <c r="AL22" s="44"/>
      <c r="AM22" s="62">
        <f t="shared" ca="1" si="0"/>
        <v>126233.86</v>
      </c>
      <c r="AN22" s="62"/>
      <c r="AO22" s="62">
        <f t="shared" ca="1" si="1"/>
        <v>169483.54311472244</v>
      </c>
      <c r="AP22" s="62"/>
      <c r="AQ22" s="62">
        <f t="shared" ca="1" si="8"/>
        <v>2113503.5660240548</v>
      </c>
      <c r="AR22" s="62"/>
      <c r="AS22" s="62">
        <f t="shared" ca="1" si="2"/>
        <v>2986496.4339759494</v>
      </c>
      <c r="AT22" s="62"/>
      <c r="AU22" s="62">
        <f t="shared" ca="1" si="3"/>
        <v>126233.86</v>
      </c>
      <c r="AV22" s="62"/>
      <c r="AW22" s="62">
        <f t="shared" ca="1" si="4"/>
        <v>0</v>
      </c>
      <c r="AX22" s="62"/>
      <c r="AY22" s="62">
        <f t="shared" ca="1" si="5"/>
        <v>169483.54311472244</v>
      </c>
      <c r="AZ22" s="62"/>
      <c r="BA22" s="62">
        <f t="shared" ca="1" si="6"/>
        <v>0</v>
      </c>
    </row>
    <row r="23" spans="2:53" x14ac:dyDescent="0.25">
      <c r="B23" s="72">
        <v>12</v>
      </c>
      <c r="C23" s="47" t="str">
        <f>IF(MONTH($C$9)=12,"December",IF(F22&gt;0.005,"December",""))</f>
        <v>December</v>
      </c>
      <c r="D23" s="80">
        <f>IF(MONTH($C$9)&gt;12,"",IF(MONTH($C$9)&lt;12,ROUND(F22*($F$6/12),2),IF(MONTH($C$9)=12,ROUND($D$6*($F$6/12),2),0)))</f>
        <v>17167.419999999998</v>
      </c>
      <c r="E23" s="80">
        <f t="shared" si="9"/>
        <v>7475.6969262268722</v>
      </c>
      <c r="F23" s="80">
        <f>IF(MONTH($C$9)=12,$D$6-E23,IF(F22-E23&gt;0,F22-E23,0))</f>
        <v>5017134.1238115039</v>
      </c>
      <c r="G23" s="47"/>
      <c r="I23" s="81">
        <f t="shared" si="10"/>
        <v>16787.513855587214</v>
      </c>
      <c r="J23" s="82">
        <f t="shared" si="11"/>
        <v>4.1000000000000002E-2</v>
      </c>
      <c r="K23" s="81"/>
      <c r="L23" s="81">
        <f t="shared" si="12"/>
        <v>4896799.050723129</v>
      </c>
      <c r="M23" s="83">
        <f t="shared" si="13"/>
        <v>14155.321443571193</v>
      </c>
      <c r="N23" s="84"/>
      <c r="O23" s="72">
        <v>12</v>
      </c>
      <c r="P23" s="47" t="str">
        <f>IF(MONTH($C$9)=12,"December",IF(S22&gt;0.005,"December",""))</f>
        <v/>
      </c>
      <c r="Q23" s="80">
        <f t="shared" si="18"/>
        <v>0</v>
      </c>
      <c r="R23" s="80">
        <f t="shared" si="14"/>
        <v>0</v>
      </c>
      <c r="S23" s="80">
        <f t="shared" si="15"/>
        <v>0</v>
      </c>
      <c r="T23" s="47"/>
      <c r="U23" s="84"/>
      <c r="V23" s="72">
        <v>12</v>
      </c>
      <c r="W23" s="47" t="e">
        <f>IF(MONTH($C$9)=12,"December",IF(Z22&gt;0.005,"December",""))</f>
        <v>#NAME?</v>
      </c>
      <c r="X23" s="80" t="e">
        <f t="shared" si="16"/>
        <v>#NAME?</v>
      </c>
      <c r="Y23" s="80"/>
      <c r="Z23" s="80" t="e">
        <f t="shared" si="17"/>
        <v>#NAME?</v>
      </c>
      <c r="AA23" s="47"/>
      <c r="AB23" s="84"/>
      <c r="AC23" s="83"/>
      <c r="AD23" s="47" t="str">
        <f>IF(MONTH($AD$9)=12,"December",IF(AG22&gt;0.005,"December",""))</f>
        <v/>
      </c>
      <c r="AE23" s="80">
        <f>IF(MONTH($AD$9)&gt;12,"",IF(MONTH($AD$9)=12,ROUND($AE$6*($AG$6/1200),2),IF(AG22&gt;0,ROUND(AG22*($AG$6/1200),2),0)))</f>
        <v>0</v>
      </c>
      <c r="AF23" s="80">
        <f>IF(MONTH($AD$9)&gt;12,"",IF(MONTH($AD$9)=12,$AE$8-AE23,IF(AG22&lt;$AE$8,AG22,$AE$8-AE23)))</f>
        <v>0</v>
      </c>
      <c r="AG23" s="80">
        <f>IF(MONTH($AD$9)&gt;12,"",IF(MONTH($AD$9)=12,$AE$6-AF23,IF(AG22-AF23&gt;0,AG22-AF23,0)))</f>
        <v>0</v>
      </c>
      <c r="AH23" s="47"/>
      <c r="AI23" s="61">
        <f t="shared" si="7"/>
        <v>275</v>
      </c>
      <c r="AJ23" s="61">
        <f t="shared" si="7"/>
        <v>274</v>
      </c>
      <c r="AK23" s="44">
        <v>18</v>
      </c>
      <c r="AL23" s="44"/>
      <c r="AM23" s="62">
        <f t="shared" ca="1" si="0"/>
        <v>119152.93</v>
      </c>
      <c r="AN23" s="62"/>
      <c r="AO23" s="62">
        <f t="shared" ca="1" si="1"/>
        <v>176564.47311472244</v>
      </c>
      <c r="AP23" s="62"/>
      <c r="AQ23" s="62">
        <f t="shared" ca="1" si="8"/>
        <v>2290068.0391387772</v>
      </c>
      <c r="AR23" s="62"/>
      <c r="AS23" s="62">
        <f t="shared" ca="1" si="2"/>
        <v>2809931.960861227</v>
      </c>
      <c r="AT23" s="62"/>
      <c r="AU23" s="62">
        <f t="shared" ca="1" si="3"/>
        <v>119152.93</v>
      </c>
      <c r="AV23" s="62"/>
      <c r="AW23" s="62">
        <f t="shared" ca="1" si="4"/>
        <v>0</v>
      </c>
      <c r="AX23" s="62"/>
      <c r="AY23" s="62">
        <f t="shared" ca="1" si="5"/>
        <v>176564.47311472244</v>
      </c>
      <c r="AZ23" s="62"/>
      <c r="BA23" s="62">
        <f t="shared" ca="1" si="6"/>
        <v>0</v>
      </c>
    </row>
    <row r="24" spans="2:53" x14ac:dyDescent="0.25">
      <c r="B24" s="46"/>
      <c r="C24" s="85" t="str">
        <f>"Total "&amp;YEAR(C9)</f>
        <v>Total 2019</v>
      </c>
      <c r="D24" s="86">
        <f>SUM(D12:D23)</f>
        <v>207652.40999999997</v>
      </c>
      <c r="E24" s="86">
        <f>SUM(E12:E23)</f>
        <v>82865.87618849556</v>
      </c>
      <c r="F24" s="87"/>
      <c r="G24" s="47"/>
      <c r="I24" s="86">
        <f>SUM(I12:I23)</f>
        <v>205253.48411805139</v>
      </c>
      <c r="J24" s="46"/>
      <c r="K24" s="86">
        <f>SUM(K12:K23)</f>
        <v>0</v>
      </c>
      <c r="L24" s="46"/>
      <c r="M24" s="46"/>
      <c r="O24" s="46"/>
      <c r="P24" s="85" t="str">
        <f>"Total "&amp;YEAR(P9)</f>
        <v>Total 2019</v>
      </c>
      <c r="Q24" s="86">
        <f>SUM(Q12:Q23)</f>
        <v>0</v>
      </c>
      <c r="R24" s="86">
        <f>SUM(R12:R23)</f>
        <v>0</v>
      </c>
      <c r="S24" s="87"/>
      <c r="T24" s="47"/>
      <c r="V24" s="46"/>
      <c r="W24" s="85" t="str">
        <f>"Total "&amp;YEAR(W9)</f>
        <v>Total 2019</v>
      </c>
      <c r="X24" s="86" t="e">
        <f>SUM(X12:X23)</f>
        <v>#NAME?</v>
      </c>
      <c r="Y24" s="86">
        <f>SUM(Y12:Y23)</f>
        <v>0</v>
      </c>
      <c r="Z24" s="87"/>
      <c r="AA24" s="47"/>
      <c r="AC24" s="46"/>
      <c r="AD24" s="85" t="str">
        <f>"Total "&amp;YEAR(AD9)</f>
        <v>Total 2019</v>
      </c>
      <c r="AE24" s="86">
        <f>SUM(AE12:AE23)</f>
        <v>0</v>
      </c>
      <c r="AF24" s="86">
        <f>SUM(AF12:AF23)</f>
        <v>0</v>
      </c>
      <c r="AG24" s="87"/>
      <c r="AH24" s="47"/>
      <c r="AI24" s="61">
        <f t="shared" ref="AI24:AJ36" si="19">AI23+15</f>
        <v>290</v>
      </c>
      <c r="AJ24" s="61">
        <f t="shared" si="19"/>
        <v>289</v>
      </c>
      <c r="AK24" s="44">
        <v>19</v>
      </c>
      <c r="AL24" s="44"/>
      <c r="AM24" s="62">
        <f t="shared" ca="1" si="0"/>
        <v>111776.19</v>
      </c>
      <c r="AN24" s="62"/>
      <c r="AO24" s="62">
        <f t="shared" ca="1" si="1"/>
        <v>183941.21311472246</v>
      </c>
      <c r="AP24" s="62"/>
      <c r="AQ24" s="62">
        <f t="shared" ca="1" si="8"/>
        <v>2474009.2522534998</v>
      </c>
      <c r="AR24" s="62"/>
      <c r="AS24" s="62">
        <f t="shared" ca="1" si="2"/>
        <v>2625990.7477465048</v>
      </c>
      <c r="AT24" s="62"/>
      <c r="AU24" s="62">
        <f t="shared" ca="1" si="3"/>
        <v>111776.19</v>
      </c>
      <c r="AV24" s="62"/>
      <c r="AW24" s="62">
        <f t="shared" ca="1" si="4"/>
        <v>0</v>
      </c>
      <c r="AX24" s="62"/>
      <c r="AY24" s="62">
        <f t="shared" ca="1" si="5"/>
        <v>183941.21311472246</v>
      </c>
      <c r="AZ24" s="62"/>
      <c r="BA24" s="62">
        <f t="shared" ca="1" si="6"/>
        <v>0</v>
      </c>
    </row>
    <row r="25" spans="2:53" x14ac:dyDescent="0.25">
      <c r="B25" s="46"/>
      <c r="C25" s="47"/>
      <c r="D25" s="80"/>
      <c r="E25" s="80"/>
      <c r="F25" s="80"/>
      <c r="G25" s="47"/>
      <c r="I25" s="46"/>
      <c r="J25" s="46"/>
      <c r="K25" s="46"/>
      <c r="L25" s="46"/>
      <c r="M25" s="46"/>
      <c r="O25" s="46"/>
      <c r="P25" s="47"/>
      <c r="Q25" s="80"/>
      <c r="R25" s="80"/>
      <c r="S25" s="80"/>
      <c r="T25" s="47"/>
      <c r="V25" s="46"/>
      <c r="W25" s="47"/>
      <c r="X25" s="80"/>
      <c r="Y25" s="80"/>
      <c r="Z25" s="80"/>
      <c r="AA25" s="47"/>
      <c r="AC25" s="46"/>
      <c r="AD25" s="47"/>
      <c r="AE25" s="80"/>
      <c r="AF25" s="80"/>
      <c r="AG25" s="80"/>
      <c r="AH25" s="47"/>
      <c r="AI25" s="61">
        <f t="shared" si="19"/>
        <v>305</v>
      </c>
      <c r="AJ25" s="61">
        <f t="shared" si="19"/>
        <v>304</v>
      </c>
      <c r="AK25" s="44">
        <v>20</v>
      </c>
      <c r="AL25" s="44"/>
      <c r="AM25" s="62">
        <f t="shared" ca="1" si="0"/>
        <v>104091.24999999999</v>
      </c>
      <c r="AN25" s="62"/>
      <c r="AO25" s="62">
        <f t="shared" ca="1" si="1"/>
        <v>191626.15311472243</v>
      </c>
      <c r="AP25" s="62"/>
      <c r="AQ25" s="62">
        <f t="shared" ca="1" si="8"/>
        <v>2665635.4053682224</v>
      </c>
      <c r="AR25" s="62"/>
      <c r="AS25" s="62">
        <f t="shared" ca="1" si="2"/>
        <v>2434364.5946317823</v>
      </c>
      <c r="AT25" s="62"/>
      <c r="AU25" s="62">
        <f t="shared" ca="1" si="3"/>
        <v>104091.24999999999</v>
      </c>
      <c r="AV25" s="62"/>
      <c r="AW25" s="62">
        <f t="shared" ca="1" si="4"/>
        <v>0</v>
      </c>
      <c r="AX25" s="62"/>
      <c r="AY25" s="62">
        <f t="shared" ca="1" si="5"/>
        <v>191626.15311472243</v>
      </c>
      <c r="AZ25" s="62"/>
      <c r="BA25" s="62">
        <f t="shared" ca="1" si="6"/>
        <v>0</v>
      </c>
    </row>
    <row r="26" spans="2:53" x14ac:dyDescent="0.25">
      <c r="B26" s="46"/>
      <c r="C26" s="47"/>
      <c r="D26" s="75" t="s">
        <v>62</v>
      </c>
      <c r="E26" s="75" t="s">
        <v>63</v>
      </c>
      <c r="F26" s="75" t="s">
        <v>64</v>
      </c>
      <c r="G26" s="47"/>
      <c r="I26" s="46"/>
      <c r="J26" s="46"/>
      <c r="K26" s="46"/>
      <c r="L26" s="46"/>
      <c r="M26" s="46"/>
      <c r="O26" s="46"/>
      <c r="P26" s="47"/>
      <c r="Q26" s="75" t="s">
        <v>62</v>
      </c>
      <c r="R26" s="75" t="s">
        <v>63</v>
      </c>
      <c r="S26" s="75" t="s">
        <v>64</v>
      </c>
      <c r="T26" s="47"/>
      <c r="V26" s="46"/>
      <c r="W26" s="47"/>
      <c r="X26" s="75" t="s">
        <v>62</v>
      </c>
      <c r="Y26" s="75" t="s">
        <v>63</v>
      </c>
      <c r="Z26" s="75" t="s">
        <v>64</v>
      </c>
      <c r="AA26" s="47"/>
      <c r="AC26" s="46"/>
      <c r="AD26" s="47"/>
      <c r="AE26" s="75" t="s">
        <v>62</v>
      </c>
      <c r="AF26" s="75" t="s">
        <v>63</v>
      </c>
      <c r="AG26" s="75" t="s">
        <v>64</v>
      </c>
      <c r="AH26" s="47"/>
      <c r="AI26" s="61">
        <f t="shared" si="19"/>
        <v>320</v>
      </c>
      <c r="AJ26" s="61">
        <f t="shared" si="19"/>
        <v>319</v>
      </c>
      <c r="AK26" s="44">
        <v>21</v>
      </c>
      <c r="AL26" s="44"/>
      <c r="AM26" s="62">
        <f t="shared" ca="1" si="0"/>
        <v>96085.23</v>
      </c>
      <c r="AN26" s="62"/>
      <c r="AO26" s="62">
        <f t="shared" ca="1" si="1"/>
        <v>199632.17311472242</v>
      </c>
      <c r="AP26" s="62"/>
      <c r="AQ26" s="62">
        <f t="shared" ca="1" si="8"/>
        <v>2865267.578482945</v>
      </c>
      <c r="AR26" s="62"/>
      <c r="AS26" s="62">
        <f t="shared" ca="1" si="2"/>
        <v>2234732.4215170597</v>
      </c>
      <c r="AT26" s="62"/>
      <c r="AU26" s="62">
        <f t="shared" ca="1" si="3"/>
        <v>96085.23</v>
      </c>
      <c r="AV26" s="62"/>
      <c r="AW26" s="62">
        <f t="shared" ca="1" si="4"/>
        <v>0</v>
      </c>
      <c r="AX26" s="62"/>
      <c r="AY26" s="62">
        <f t="shared" ca="1" si="5"/>
        <v>199632.17311472242</v>
      </c>
      <c r="AZ26" s="62"/>
      <c r="BA26" s="62">
        <f t="shared" ca="1" si="6"/>
        <v>0</v>
      </c>
    </row>
    <row r="27" spans="2:53" x14ac:dyDescent="0.25">
      <c r="B27" s="72">
        <v>13</v>
      </c>
      <c r="C27" s="47" t="str">
        <f>IF(F23&gt;0.005,"January","")</f>
        <v>January</v>
      </c>
      <c r="D27" s="80">
        <f>IF(F23&gt;0,ROUND(F23*($F$6/12),2),0)</f>
        <v>17141.87</v>
      </c>
      <c r="E27" s="80">
        <f>IF(F23&lt;$D$8,F23,$D$8-D27)</f>
        <v>7501.2469262268714</v>
      </c>
      <c r="F27" s="80">
        <f>IF(F23-E27&gt;0,F23-E27,0)</f>
        <v>5009632.8768852772</v>
      </c>
      <c r="G27" s="47"/>
      <c r="I27" s="81">
        <f>L23*J27/12</f>
        <v>16730.730089970693</v>
      </c>
      <c r="J27" s="82">
        <f>$F$6</f>
        <v>4.1000000000000002E-2</v>
      </c>
      <c r="K27" s="81"/>
      <c r="L27" s="81">
        <f>MAX(L23+L23*($F$6/100)/12-I27-K27,0)</f>
        <v>4880235.6279340582</v>
      </c>
      <c r="M27" s="83">
        <f t="shared" ref="M27:M38" si="20">-PMT(($F$6/100)/12,$D$7-B27,L27,0,0)</f>
        <v>14147.855306347123</v>
      </c>
      <c r="N27" s="84"/>
      <c r="O27" s="72">
        <v>13</v>
      </c>
      <c r="P27" s="47" t="str">
        <f>IF(S23&gt;0.005,"January","")</f>
        <v/>
      </c>
      <c r="Q27" s="80">
        <f>IF(O27&lt;$S$7,"",IF(O27=$S$7,$Q$6*($S$6/12),S23*($S$6/12)))</f>
        <v>0</v>
      </c>
      <c r="R27" s="80">
        <f>IF(O27&lt;$S$7,"",$Q$8-Q27)</f>
        <v>0</v>
      </c>
      <c r="S27" s="80">
        <f>IF(O27&lt;$S$7,"",IF(O27=$S$7,$Q$6-R27,S23-R27))</f>
        <v>0</v>
      </c>
      <c r="T27" s="47"/>
      <c r="U27" s="84"/>
      <c r="V27" s="72">
        <v>13</v>
      </c>
      <c r="W27" s="47" t="e">
        <f>IF(Z23&gt;0.005,"January","")</f>
        <v>#NAME?</v>
      </c>
      <c r="X27" s="80" t="e">
        <f>IF(V27&lt;$Z$7,"",($Z$6/12)*$X$6)</f>
        <v>#NAME?</v>
      </c>
      <c r="Y27" s="80"/>
      <c r="Z27" s="80" t="e">
        <f>IF(V27&lt;$S$7,"",$X$6)</f>
        <v>#NAME?</v>
      </c>
      <c r="AA27" s="47"/>
      <c r="AB27" s="84"/>
      <c r="AC27" s="83"/>
      <c r="AD27" s="47" t="str">
        <f>IF(AG23&gt;0.005,"January","")</f>
        <v/>
      </c>
      <c r="AE27" s="80">
        <f>IF(AG23&gt;0,ROUND(AG23*($AG$6/1200),2),0)</f>
        <v>0</v>
      </c>
      <c r="AF27" s="80">
        <f>IF(AG23&lt;$AE$8,AG23,$AE$8-AE27)</f>
        <v>0</v>
      </c>
      <c r="AG27" s="80">
        <f>IF(AG23-AF27&gt;0,AG23-AF27,0)</f>
        <v>0</v>
      </c>
      <c r="AH27" s="47"/>
      <c r="AI27" s="61">
        <f t="shared" si="19"/>
        <v>335</v>
      </c>
      <c r="AJ27" s="61">
        <f t="shared" si="19"/>
        <v>334</v>
      </c>
      <c r="AK27" s="44">
        <v>22</v>
      </c>
      <c r="AL27" s="44"/>
      <c r="AM27" s="62">
        <f t="shared" ca="1" si="0"/>
        <v>87744.75</v>
      </c>
      <c r="AN27" s="62"/>
      <c r="AO27" s="62">
        <f t="shared" ca="1" si="1"/>
        <v>207972.65311472246</v>
      </c>
      <c r="AP27" s="62"/>
      <c r="AQ27" s="62">
        <f t="shared" ca="1" si="8"/>
        <v>3073240.2315976676</v>
      </c>
      <c r="AR27" s="62"/>
      <c r="AS27" s="62">
        <f t="shared" ca="1" si="2"/>
        <v>2026759.7684023369</v>
      </c>
      <c r="AT27" s="62"/>
      <c r="AU27" s="62">
        <f t="shared" ca="1" si="3"/>
        <v>87744.75</v>
      </c>
      <c r="AV27" s="62"/>
      <c r="AW27" s="62">
        <f t="shared" ca="1" si="4"/>
        <v>0</v>
      </c>
      <c r="AX27" s="62"/>
      <c r="AY27" s="62">
        <f t="shared" ca="1" si="5"/>
        <v>207972.65311472246</v>
      </c>
      <c r="AZ27" s="62"/>
      <c r="BA27" s="62">
        <f t="shared" ca="1" si="6"/>
        <v>0</v>
      </c>
    </row>
    <row r="28" spans="2:53" x14ac:dyDescent="0.25">
      <c r="B28" s="72">
        <v>14</v>
      </c>
      <c r="C28" s="47" t="str">
        <f>IF(F27&gt;0.005,"February","")</f>
        <v>February</v>
      </c>
      <c r="D28" s="80">
        <f>IF(F27&gt;0,ROUND(F27*($F$6/12),2),0)</f>
        <v>17116.25</v>
      </c>
      <c r="E28" s="80">
        <f t="shared" ref="E28:E38" si="21">IF(F27&lt;$D$8,F27,$D$8-D28)</f>
        <v>7526.8669262268704</v>
      </c>
      <c r="F28" s="80">
        <f t="shared" ref="F28:F38" si="22">IF(F27-E28&gt;0,F27-E28,0)</f>
        <v>5002106.0099590505</v>
      </c>
      <c r="G28" s="47"/>
      <c r="I28" s="81">
        <f t="shared" ref="I28:I38" si="23">L27*J28/12</f>
        <v>16674.138395441365</v>
      </c>
      <c r="J28" s="82">
        <f t="shared" ref="J28:J38" si="24">$F$6</f>
        <v>4.1000000000000002E-2</v>
      </c>
      <c r="K28" s="81"/>
      <c r="L28" s="81">
        <f t="shared" ref="L28:L38" si="25">MAX(L27+L27*($F$6/100)/12-I28-K28,0)</f>
        <v>4863728.2309225705</v>
      </c>
      <c r="M28" s="83">
        <f t="shared" si="20"/>
        <v>14140.51054303799</v>
      </c>
      <c r="N28" s="84"/>
      <c r="O28" s="72">
        <v>14</v>
      </c>
      <c r="P28" s="47" t="str">
        <f>IF(S27&gt;0.005,"February","")</f>
        <v/>
      </c>
      <c r="Q28" s="80">
        <f>IF(O28&lt;$S$7,"",IF(O28=$S$7,$Q$6*($S$6/12),S27*($S$6/12)))</f>
        <v>0</v>
      </c>
      <c r="R28" s="80">
        <f t="shared" ref="R28:R38" si="26">IF(O28&lt;$S$7,"",$Q$8-Q28)</f>
        <v>0</v>
      </c>
      <c r="S28" s="80">
        <f t="shared" ref="S28:S38" si="27">IF(O28&lt;$S$7,"",IF(O28=$S$7,$Q$6-R28,S27-R28))</f>
        <v>0</v>
      </c>
      <c r="T28" s="47"/>
      <c r="U28" s="84"/>
      <c r="V28" s="72">
        <v>14</v>
      </c>
      <c r="W28" s="47" t="e">
        <f>IF(Z27&gt;0.005,"February","")</f>
        <v>#NAME?</v>
      </c>
      <c r="X28" s="80" t="e">
        <f t="shared" ref="X28:X38" si="28">IF(V28&lt;$Z$7,"",($Z$6/12)*$X$6)</f>
        <v>#NAME?</v>
      </c>
      <c r="Y28" s="80"/>
      <c r="Z28" s="80" t="e">
        <f t="shared" ref="Z28:Z38" si="29">IF(V28&lt;$S$7,"",$X$6)</f>
        <v>#NAME?</v>
      </c>
      <c r="AA28" s="47"/>
      <c r="AB28" s="84"/>
      <c r="AC28" s="83"/>
      <c r="AD28" s="47" t="str">
        <f>IF(AG27&gt;0.005,"February","")</f>
        <v/>
      </c>
      <c r="AE28" s="80">
        <f t="shared" ref="AE28:AE38" si="30">IF(AG27&gt;0,ROUND(AG27*($AG$6/1200),2),0)</f>
        <v>0</v>
      </c>
      <c r="AF28" s="80">
        <f t="shared" ref="AF28:AF38" si="31">IF(AG27&lt;$AE$8,AG27,$AE$8-AE28)</f>
        <v>0</v>
      </c>
      <c r="AG28" s="80">
        <f t="shared" ref="AG28:AG38" si="32">IF(AG27-AF28&gt;0,AG27-AF28,0)</f>
        <v>0</v>
      </c>
      <c r="AH28" s="47"/>
      <c r="AI28" s="61">
        <f t="shared" si="19"/>
        <v>350</v>
      </c>
      <c r="AJ28" s="61">
        <f t="shared" si="19"/>
        <v>349</v>
      </c>
      <c r="AK28" s="44">
        <v>23</v>
      </c>
      <c r="AL28" s="44"/>
      <c r="AM28" s="62">
        <f t="shared" ca="1" si="0"/>
        <v>79055.8</v>
      </c>
      <c r="AN28" s="62"/>
      <c r="AO28" s="62">
        <f t="shared" ca="1" si="1"/>
        <v>216661.60311472244</v>
      </c>
      <c r="AP28" s="62"/>
      <c r="AQ28" s="62">
        <f t="shared" ca="1" si="8"/>
        <v>3289901.8347123899</v>
      </c>
      <c r="AR28" s="62"/>
      <c r="AS28" s="62">
        <f t="shared" ca="1" si="2"/>
        <v>1810098.1652876148</v>
      </c>
      <c r="AT28" s="62"/>
      <c r="AU28" s="62">
        <f t="shared" ca="1" si="3"/>
        <v>79055.8</v>
      </c>
      <c r="AV28" s="62"/>
      <c r="AW28" s="62">
        <f t="shared" ca="1" si="4"/>
        <v>0</v>
      </c>
      <c r="AX28" s="62"/>
      <c r="AY28" s="62">
        <f t="shared" ca="1" si="5"/>
        <v>216661.60311472244</v>
      </c>
      <c r="AZ28" s="62"/>
      <c r="BA28" s="62">
        <f t="shared" ca="1" si="6"/>
        <v>0</v>
      </c>
    </row>
    <row r="29" spans="2:53" x14ac:dyDescent="0.25">
      <c r="B29" s="72">
        <v>15</v>
      </c>
      <c r="C29" s="47" t="str">
        <f>IF(F28&gt;0.005,"March","")</f>
        <v>March</v>
      </c>
      <c r="D29" s="80">
        <f t="shared" ref="D29:D37" si="33">IF(F28&gt;0,ROUND(F28*($F$6/12),2),0)</f>
        <v>17090.53</v>
      </c>
      <c r="E29" s="80">
        <f t="shared" si="21"/>
        <v>7552.5869262268716</v>
      </c>
      <c r="F29" s="80">
        <f t="shared" si="22"/>
        <v>4994553.423032824</v>
      </c>
      <c r="G29" s="47"/>
      <c r="I29" s="81">
        <f t="shared" si="23"/>
        <v>16617.738122318784</v>
      </c>
      <c r="J29" s="82">
        <f t="shared" si="24"/>
        <v>4.1000000000000002E-2</v>
      </c>
      <c r="K29" s="81"/>
      <c r="L29" s="81">
        <f t="shared" si="25"/>
        <v>4847276.6701814746</v>
      </c>
      <c r="M29" s="83">
        <f t="shared" si="20"/>
        <v>14133.287648136355</v>
      </c>
      <c r="N29" s="84"/>
      <c r="O29" s="72">
        <v>15</v>
      </c>
      <c r="P29" s="47" t="str">
        <f>IF(S28&gt;0.005,"March","")</f>
        <v/>
      </c>
      <c r="Q29" s="80">
        <f t="shared" ref="Q29:Q38" si="34">IF(O29&lt;$S$7,"",IF(O29=$S$7,$Q$6*($S$6/12),S28*($S$6/12)))</f>
        <v>0</v>
      </c>
      <c r="R29" s="80">
        <f t="shared" si="26"/>
        <v>0</v>
      </c>
      <c r="S29" s="80">
        <f t="shared" si="27"/>
        <v>0</v>
      </c>
      <c r="T29" s="47"/>
      <c r="U29" s="84"/>
      <c r="V29" s="72">
        <v>15</v>
      </c>
      <c r="W29" s="47" t="e">
        <f>IF(Z28&gt;0.005,"March","")</f>
        <v>#NAME?</v>
      </c>
      <c r="X29" s="80" t="e">
        <f t="shared" si="28"/>
        <v>#NAME?</v>
      </c>
      <c r="Y29" s="80"/>
      <c r="Z29" s="80" t="e">
        <f t="shared" si="29"/>
        <v>#NAME?</v>
      </c>
      <c r="AA29" s="47"/>
      <c r="AB29" s="84"/>
      <c r="AC29" s="83"/>
      <c r="AD29" s="47" t="str">
        <f>IF(AG28&gt;0.005,"March","")</f>
        <v/>
      </c>
      <c r="AE29" s="80">
        <f t="shared" si="30"/>
        <v>0</v>
      </c>
      <c r="AF29" s="80">
        <f t="shared" si="31"/>
        <v>0</v>
      </c>
      <c r="AG29" s="80">
        <f t="shared" si="32"/>
        <v>0</v>
      </c>
      <c r="AH29" s="47"/>
      <c r="AI29" s="61">
        <f t="shared" si="19"/>
        <v>365</v>
      </c>
      <c r="AJ29" s="61">
        <f t="shared" si="19"/>
        <v>364</v>
      </c>
      <c r="AK29" s="44">
        <v>24</v>
      </c>
      <c r="AL29" s="44"/>
      <c r="AM29" s="62">
        <f t="shared" ca="1" si="0"/>
        <v>70003.829999999987</v>
      </c>
      <c r="AN29" s="62"/>
      <c r="AO29" s="62">
        <f t="shared" ca="1" si="1"/>
        <v>225713.57311472244</v>
      </c>
      <c r="AP29" s="62"/>
      <c r="AQ29" s="62">
        <f t="shared" ca="1" si="8"/>
        <v>3515615.4078271124</v>
      </c>
      <c r="AR29" s="62"/>
      <c r="AS29" s="62">
        <f t="shared" ca="1" si="2"/>
        <v>1584384.5921728923</v>
      </c>
      <c r="AT29" s="62"/>
      <c r="AU29" s="62">
        <f t="shared" ca="1" si="3"/>
        <v>70003.829999999987</v>
      </c>
      <c r="AV29" s="62"/>
      <c r="AW29" s="62">
        <f t="shared" ca="1" si="4"/>
        <v>0</v>
      </c>
      <c r="AX29" s="62"/>
      <c r="AY29" s="62">
        <f t="shared" ca="1" si="5"/>
        <v>225713.57311472244</v>
      </c>
      <c r="AZ29" s="62"/>
      <c r="BA29" s="62">
        <f t="shared" ca="1" si="6"/>
        <v>0</v>
      </c>
    </row>
    <row r="30" spans="2:53" x14ac:dyDescent="0.25">
      <c r="B30" s="72">
        <v>16</v>
      </c>
      <c r="C30" s="47" t="str">
        <f>IF(F29&gt;0.005,"April","")</f>
        <v>April</v>
      </c>
      <c r="D30" s="80">
        <f t="shared" si="33"/>
        <v>17064.72</v>
      </c>
      <c r="E30" s="80">
        <f t="shared" si="21"/>
        <v>7578.3969262268693</v>
      </c>
      <c r="F30" s="80">
        <f t="shared" si="22"/>
        <v>4986975.0261065969</v>
      </c>
      <c r="G30" s="47"/>
      <c r="I30" s="81">
        <f t="shared" si="23"/>
        <v>16561.528623120041</v>
      </c>
      <c r="J30" s="82">
        <f t="shared" si="24"/>
        <v>4.1000000000000002E-2</v>
      </c>
      <c r="K30" s="81"/>
      <c r="L30" s="81">
        <f t="shared" si="25"/>
        <v>4830880.7568445858</v>
      </c>
      <c r="M30" s="83">
        <f t="shared" si="20"/>
        <v>14126.187123797043</v>
      </c>
      <c r="N30" s="84"/>
      <c r="O30" s="72">
        <v>16</v>
      </c>
      <c r="P30" s="47" t="str">
        <f>IF(S29&gt;0.005,"April","")</f>
        <v/>
      </c>
      <c r="Q30" s="80">
        <f t="shared" si="34"/>
        <v>0</v>
      </c>
      <c r="R30" s="80">
        <f t="shared" si="26"/>
        <v>0</v>
      </c>
      <c r="S30" s="80">
        <f t="shared" si="27"/>
        <v>0</v>
      </c>
      <c r="T30" s="47"/>
      <c r="U30" s="84"/>
      <c r="V30" s="72">
        <v>16</v>
      </c>
      <c r="W30" s="47" t="e">
        <f>IF(Z29&gt;0.005,"April","")</f>
        <v>#NAME?</v>
      </c>
      <c r="X30" s="80" t="e">
        <f t="shared" si="28"/>
        <v>#NAME?</v>
      </c>
      <c r="Y30" s="80"/>
      <c r="Z30" s="80" t="e">
        <f t="shared" si="29"/>
        <v>#NAME?</v>
      </c>
      <c r="AA30" s="47"/>
      <c r="AB30" s="84"/>
      <c r="AC30" s="83"/>
      <c r="AD30" s="47" t="str">
        <f>IF(AG29&gt;0.005,"April","")</f>
        <v/>
      </c>
      <c r="AE30" s="80">
        <f t="shared" si="30"/>
        <v>0</v>
      </c>
      <c r="AF30" s="80">
        <f t="shared" si="31"/>
        <v>0</v>
      </c>
      <c r="AG30" s="80">
        <f t="shared" si="32"/>
        <v>0</v>
      </c>
      <c r="AH30" s="47"/>
      <c r="AI30" s="61">
        <f t="shared" si="19"/>
        <v>380</v>
      </c>
      <c r="AJ30" s="61">
        <f t="shared" si="19"/>
        <v>379</v>
      </c>
      <c r="AK30" s="44">
        <v>25</v>
      </c>
      <c r="AL30" s="44"/>
      <c r="AM30" s="62">
        <f t="shared" ca="1" si="0"/>
        <v>60573.67</v>
      </c>
      <c r="AN30" s="62"/>
      <c r="AO30" s="62">
        <f t="shared" ca="1" si="1"/>
        <v>235143.73311472248</v>
      </c>
      <c r="AP30" s="62"/>
      <c r="AQ30" s="62">
        <f t="shared" ca="1" si="8"/>
        <v>3750759.140941835</v>
      </c>
      <c r="AR30" s="62"/>
      <c r="AS30" s="62">
        <f t="shared" ca="1" si="2"/>
        <v>1349240.8590581696</v>
      </c>
      <c r="AT30" s="62"/>
      <c r="AU30" s="62">
        <f t="shared" ca="1" si="3"/>
        <v>60573.67</v>
      </c>
      <c r="AV30" s="62"/>
      <c r="AW30" s="62">
        <f t="shared" ca="1" si="4"/>
        <v>0</v>
      </c>
      <c r="AX30" s="62"/>
      <c r="AY30" s="62">
        <f t="shared" ca="1" si="5"/>
        <v>235143.73311472248</v>
      </c>
      <c r="AZ30" s="62"/>
      <c r="BA30" s="62">
        <f t="shared" ca="1" si="6"/>
        <v>0</v>
      </c>
    </row>
    <row r="31" spans="2:53" x14ac:dyDescent="0.25">
      <c r="B31" s="72">
        <v>17</v>
      </c>
      <c r="C31" s="47" t="str">
        <f>IF(F30&gt;0.005,"May","")</f>
        <v>May</v>
      </c>
      <c r="D31" s="80">
        <f t="shared" si="33"/>
        <v>17038.830000000002</v>
      </c>
      <c r="E31" s="80">
        <f t="shared" si="21"/>
        <v>7604.2869262268687</v>
      </c>
      <c r="F31" s="80">
        <f t="shared" si="22"/>
        <v>4979370.7391803702</v>
      </c>
      <c r="G31" s="47"/>
      <c r="I31" s="81">
        <f t="shared" si="23"/>
        <v>16505.509252552336</v>
      </c>
      <c r="J31" s="82">
        <f t="shared" si="24"/>
        <v>4.1000000000000002E-2</v>
      </c>
      <c r="K31" s="81"/>
      <c r="L31" s="81">
        <f t="shared" si="25"/>
        <v>4814540.3026845595</v>
      </c>
      <c r="M31" s="83">
        <f t="shared" si="20"/>
        <v>14119.209479942361</v>
      </c>
      <c r="N31" s="84"/>
      <c r="O31" s="72">
        <v>17</v>
      </c>
      <c r="P31" s="47" t="str">
        <f>IF(S30&gt;0.005,"May","")</f>
        <v/>
      </c>
      <c r="Q31" s="80">
        <f t="shared" si="34"/>
        <v>0</v>
      </c>
      <c r="R31" s="80">
        <f t="shared" si="26"/>
        <v>0</v>
      </c>
      <c r="S31" s="80">
        <f t="shared" si="27"/>
        <v>0</v>
      </c>
      <c r="T31" s="47"/>
      <c r="U31" s="84"/>
      <c r="V31" s="72">
        <v>17</v>
      </c>
      <c r="W31" s="47" t="e">
        <f>IF(Z30&gt;0.005,"May","")</f>
        <v>#NAME?</v>
      </c>
      <c r="X31" s="80" t="e">
        <f t="shared" si="28"/>
        <v>#NAME?</v>
      </c>
      <c r="Y31" s="80"/>
      <c r="Z31" s="80" t="e">
        <f t="shared" si="29"/>
        <v>#NAME?</v>
      </c>
      <c r="AA31" s="47"/>
      <c r="AB31" s="84"/>
      <c r="AC31" s="83"/>
      <c r="AD31" s="47" t="str">
        <f>IF(AG30&gt;0.005,"May","")</f>
        <v/>
      </c>
      <c r="AE31" s="80">
        <f t="shared" si="30"/>
        <v>0</v>
      </c>
      <c r="AF31" s="80">
        <f t="shared" si="31"/>
        <v>0</v>
      </c>
      <c r="AG31" s="80">
        <f t="shared" si="32"/>
        <v>0</v>
      </c>
      <c r="AH31" s="47"/>
      <c r="AI31" s="61">
        <f t="shared" si="19"/>
        <v>395</v>
      </c>
      <c r="AJ31" s="61">
        <f t="shared" si="19"/>
        <v>394</v>
      </c>
      <c r="AK31" s="44">
        <v>26</v>
      </c>
      <c r="AL31" s="44"/>
      <c r="AM31" s="62">
        <f t="shared" ca="1" si="0"/>
        <v>50749.549999999996</v>
      </c>
      <c r="AN31" s="62"/>
      <c r="AO31" s="62">
        <f t="shared" ca="1" si="1"/>
        <v>244967.85311472244</v>
      </c>
      <c r="AP31" s="62"/>
      <c r="AQ31" s="62">
        <f t="shared" ca="1" si="8"/>
        <v>3995726.9940565573</v>
      </c>
      <c r="AR31" s="62"/>
      <c r="AS31" s="62">
        <f t="shared" ca="1" si="2"/>
        <v>1104273.0059434474</v>
      </c>
      <c r="AT31" s="62"/>
      <c r="AU31" s="62">
        <f t="shared" ca="1" si="3"/>
        <v>50749.549999999996</v>
      </c>
      <c r="AV31" s="62"/>
      <c r="AW31" s="62">
        <f t="shared" ca="1" si="4"/>
        <v>0</v>
      </c>
      <c r="AX31" s="62"/>
      <c r="AY31" s="62">
        <f t="shared" ca="1" si="5"/>
        <v>244967.85311472244</v>
      </c>
      <c r="AZ31" s="62"/>
      <c r="BA31" s="62">
        <f t="shared" ca="1" si="6"/>
        <v>0</v>
      </c>
    </row>
    <row r="32" spans="2:53" x14ac:dyDescent="0.25">
      <c r="B32" s="72">
        <v>18</v>
      </c>
      <c r="C32" s="47" t="str">
        <f>IF(F31&gt;0.005,"June","")</f>
        <v>June</v>
      </c>
      <c r="D32" s="80">
        <f t="shared" si="33"/>
        <v>17012.849999999999</v>
      </c>
      <c r="E32" s="80">
        <f t="shared" si="21"/>
        <v>7630.2669262268719</v>
      </c>
      <c r="F32" s="80">
        <f t="shared" si="22"/>
        <v>4971740.4722541431</v>
      </c>
      <c r="G32" s="47"/>
      <c r="I32" s="81">
        <f t="shared" si="23"/>
        <v>16449.679367505578</v>
      </c>
      <c r="J32" s="82">
        <f t="shared" si="24"/>
        <v>4.1000000000000002E-2</v>
      </c>
      <c r="K32" s="81"/>
      <c r="L32" s="81">
        <f t="shared" si="25"/>
        <v>4798255.1201107288</v>
      </c>
      <c r="M32" s="83">
        <f t="shared" si="20"/>
        <v>14112.355234369123</v>
      </c>
      <c r="N32" s="84"/>
      <c r="O32" s="72">
        <v>18</v>
      </c>
      <c r="P32" s="47" t="str">
        <f>IF(S31&gt;0.005,"June","")</f>
        <v/>
      </c>
      <c r="Q32" s="80">
        <f t="shared" si="34"/>
        <v>0</v>
      </c>
      <c r="R32" s="80">
        <f t="shared" si="26"/>
        <v>0</v>
      </c>
      <c r="S32" s="80">
        <f t="shared" si="27"/>
        <v>0</v>
      </c>
      <c r="T32" s="47"/>
      <c r="U32" s="84"/>
      <c r="V32" s="72">
        <v>18</v>
      </c>
      <c r="W32" s="47" t="e">
        <f>IF(Z31&gt;0.005,"June","")</f>
        <v>#NAME?</v>
      </c>
      <c r="X32" s="80" t="e">
        <f t="shared" si="28"/>
        <v>#NAME?</v>
      </c>
      <c r="Y32" s="80"/>
      <c r="Z32" s="80" t="e">
        <f t="shared" si="29"/>
        <v>#NAME?</v>
      </c>
      <c r="AA32" s="47"/>
      <c r="AB32" s="84"/>
      <c r="AC32" s="83"/>
      <c r="AD32" s="47" t="str">
        <f>IF(AG31&gt;0.005,"June","")</f>
        <v/>
      </c>
      <c r="AE32" s="80">
        <f t="shared" si="30"/>
        <v>0</v>
      </c>
      <c r="AF32" s="80">
        <f t="shared" si="31"/>
        <v>0</v>
      </c>
      <c r="AG32" s="80">
        <f t="shared" si="32"/>
        <v>0</v>
      </c>
      <c r="AH32" s="47"/>
      <c r="AI32" s="61">
        <f t="shared" si="19"/>
        <v>410</v>
      </c>
      <c r="AJ32" s="61">
        <f t="shared" si="19"/>
        <v>409</v>
      </c>
      <c r="AK32" s="44">
        <v>27</v>
      </c>
      <c r="AL32" s="44"/>
      <c r="AM32" s="62">
        <f t="shared" ca="1" si="0"/>
        <v>40514.94</v>
      </c>
      <c r="AN32" s="62"/>
      <c r="AO32" s="62">
        <f t="shared" ca="1" si="1"/>
        <v>255202.4631147224</v>
      </c>
      <c r="AP32" s="62"/>
      <c r="AQ32" s="62">
        <f t="shared" ca="1" si="8"/>
        <v>4250929.4571712799</v>
      </c>
      <c r="AR32" s="62"/>
      <c r="AS32" s="62">
        <f t="shared" ca="1" si="2"/>
        <v>849070.54282872484</v>
      </c>
      <c r="AT32" s="62"/>
      <c r="AU32" s="62">
        <f t="shared" ca="1" si="3"/>
        <v>40514.94</v>
      </c>
      <c r="AV32" s="62"/>
      <c r="AW32" s="62">
        <f t="shared" ca="1" si="4"/>
        <v>0</v>
      </c>
      <c r="AX32" s="62"/>
      <c r="AY32" s="62">
        <f t="shared" ca="1" si="5"/>
        <v>255202.4631147224</v>
      </c>
      <c r="AZ32" s="62"/>
      <c r="BA32" s="62">
        <f t="shared" ca="1" si="6"/>
        <v>0</v>
      </c>
    </row>
    <row r="33" spans="2:53" x14ac:dyDescent="0.25">
      <c r="B33" s="72">
        <v>19</v>
      </c>
      <c r="C33" s="47" t="str">
        <f>IF(F32&gt;0.005,"July","")</f>
        <v>July</v>
      </c>
      <c r="D33" s="80">
        <f t="shared" si="33"/>
        <v>16986.78</v>
      </c>
      <c r="E33" s="80">
        <f t="shared" si="21"/>
        <v>7656.3369262268716</v>
      </c>
      <c r="F33" s="80">
        <f t="shared" si="22"/>
        <v>4964084.1353279166</v>
      </c>
      <c r="G33" s="47"/>
      <c r="I33" s="81">
        <f t="shared" si="23"/>
        <v>16394.038327044993</v>
      </c>
      <c r="J33" s="82">
        <f t="shared" si="24"/>
        <v>4.1000000000000002E-2</v>
      </c>
      <c r="K33" s="81"/>
      <c r="L33" s="81">
        <f t="shared" si="25"/>
        <v>4782025.0221669544</v>
      </c>
      <c r="M33" s="83">
        <f t="shared" si="20"/>
        <v>14105.624912857606</v>
      </c>
      <c r="N33" s="84"/>
      <c r="O33" s="72">
        <v>19</v>
      </c>
      <c r="P33" s="47" t="str">
        <f>IF(S32&gt;0.005,"July","")</f>
        <v/>
      </c>
      <c r="Q33" s="80">
        <f t="shared" si="34"/>
        <v>0</v>
      </c>
      <c r="R33" s="80">
        <f t="shared" si="26"/>
        <v>0</v>
      </c>
      <c r="S33" s="80">
        <f t="shared" si="27"/>
        <v>0</v>
      </c>
      <c r="T33" s="47"/>
      <c r="U33" s="84"/>
      <c r="V33" s="72">
        <v>19</v>
      </c>
      <c r="W33" s="47" t="e">
        <f>IF(Z32&gt;0.005,"July","")</f>
        <v>#NAME?</v>
      </c>
      <c r="X33" s="80" t="e">
        <f t="shared" si="28"/>
        <v>#NAME?</v>
      </c>
      <c r="Y33" s="80"/>
      <c r="Z33" s="80" t="e">
        <f t="shared" si="29"/>
        <v>#NAME?</v>
      </c>
      <c r="AA33" s="47"/>
      <c r="AB33" s="84"/>
      <c r="AC33" s="83"/>
      <c r="AD33" s="47" t="str">
        <f>IF(AG32&gt;0.005,"July","")</f>
        <v/>
      </c>
      <c r="AE33" s="80">
        <f t="shared" si="30"/>
        <v>0</v>
      </c>
      <c r="AF33" s="80">
        <f t="shared" si="31"/>
        <v>0</v>
      </c>
      <c r="AG33" s="80">
        <f t="shared" si="32"/>
        <v>0</v>
      </c>
      <c r="AH33" s="47"/>
      <c r="AI33" s="61">
        <f t="shared" si="19"/>
        <v>425</v>
      </c>
      <c r="AJ33" s="61">
        <f t="shared" si="19"/>
        <v>424</v>
      </c>
      <c r="AK33" s="44">
        <v>28</v>
      </c>
      <c r="AL33" s="44"/>
      <c r="AM33" s="62">
        <f t="shared" ca="1" si="0"/>
        <v>29852.78</v>
      </c>
      <c r="AN33" s="62"/>
      <c r="AO33" s="62">
        <f t="shared" ca="1" si="1"/>
        <v>265864.62311472243</v>
      </c>
      <c r="AP33" s="62"/>
      <c r="AQ33" s="62">
        <f t="shared" ca="1" si="8"/>
        <v>4516794.0802860027</v>
      </c>
      <c r="AR33" s="62"/>
      <c r="AS33" s="62">
        <f t="shared" ca="1" si="2"/>
        <v>583205.91971400229</v>
      </c>
      <c r="AT33" s="62"/>
      <c r="AU33" s="62">
        <f t="shared" ca="1" si="3"/>
        <v>29852.78</v>
      </c>
      <c r="AV33" s="62"/>
      <c r="AW33" s="62">
        <f t="shared" ca="1" si="4"/>
        <v>0</v>
      </c>
      <c r="AX33" s="62"/>
      <c r="AY33" s="62">
        <f t="shared" ca="1" si="5"/>
        <v>265864.62311472243</v>
      </c>
      <c r="AZ33" s="62"/>
      <c r="BA33" s="62">
        <f t="shared" ca="1" si="6"/>
        <v>0</v>
      </c>
    </row>
    <row r="34" spans="2:53" x14ac:dyDescent="0.25">
      <c r="B34" s="72">
        <v>20</v>
      </c>
      <c r="C34" s="47" t="str">
        <f>IF(F33&gt;0.005,"August","")</f>
        <v>August</v>
      </c>
      <c r="D34" s="80">
        <f t="shared" si="33"/>
        <v>16960.62</v>
      </c>
      <c r="E34" s="80">
        <f t="shared" si="21"/>
        <v>7682.4969262268714</v>
      </c>
      <c r="F34" s="80">
        <f t="shared" si="22"/>
        <v>4956401.6384016899</v>
      </c>
      <c r="G34" s="47"/>
      <c r="I34" s="81">
        <f t="shared" si="23"/>
        <v>16338.585492403761</v>
      </c>
      <c r="J34" s="82">
        <f t="shared" si="24"/>
        <v>4.1000000000000002E-2</v>
      </c>
      <c r="K34" s="81"/>
      <c r="L34" s="81">
        <f t="shared" si="25"/>
        <v>4765849.8225294743</v>
      </c>
      <c r="M34" s="83">
        <f t="shared" si="20"/>
        <v>14099.019049282446</v>
      </c>
      <c r="N34" s="84"/>
      <c r="O34" s="72">
        <v>20</v>
      </c>
      <c r="P34" s="47" t="str">
        <f>IF(S33&gt;0.005,"August","")</f>
        <v/>
      </c>
      <c r="Q34" s="80">
        <f t="shared" si="34"/>
        <v>0</v>
      </c>
      <c r="R34" s="80">
        <f t="shared" si="26"/>
        <v>0</v>
      </c>
      <c r="S34" s="80">
        <f t="shared" si="27"/>
        <v>0</v>
      </c>
      <c r="T34" s="47"/>
      <c r="U34" s="84"/>
      <c r="V34" s="72">
        <v>20</v>
      </c>
      <c r="W34" s="47" t="e">
        <f>IF(Z33&gt;0.005,"August","")</f>
        <v>#NAME?</v>
      </c>
      <c r="X34" s="80" t="e">
        <f t="shared" si="28"/>
        <v>#NAME?</v>
      </c>
      <c r="Y34" s="80"/>
      <c r="Z34" s="80" t="e">
        <f t="shared" si="29"/>
        <v>#NAME?</v>
      </c>
      <c r="AA34" s="47"/>
      <c r="AB34" s="84"/>
      <c r="AC34" s="83"/>
      <c r="AD34" s="47" t="str">
        <f>IF(AG33&gt;0.005,"August","")</f>
        <v/>
      </c>
      <c r="AE34" s="80">
        <f t="shared" si="30"/>
        <v>0</v>
      </c>
      <c r="AF34" s="80">
        <f t="shared" si="31"/>
        <v>0</v>
      </c>
      <c r="AG34" s="80">
        <f t="shared" si="32"/>
        <v>0</v>
      </c>
      <c r="AH34" s="47"/>
      <c r="AI34" s="61">
        <f t="shared" si="19"/>
        <v>440</v>
      </c>
      <c r="AJ34" s="61">
        <f t="shared" si="19"/>
        <v>439</v>
      </c>
      <c r="AK34" s="44">
        <v>29</v>
      </c>
      <c r="AL34" s="44"/>
      <c r="AM34" s="62">
        <f t="shared" ca="1" si="0"/>
        <v>18745.13</v>
      </c>
      <c r="AN34" s="62"/>
      <c r="AO34" s="62">
        <f t="shared" ca="1" si="1"/>
        <v>276972.27311472245</v>
      </c>
      <c r="AP34" s="62"/>
      <c r="AQ34" s="62">
        <f t="shared" ca="1" si="8"/>
        <v>4793766.3534007249</v>
      </c>
      <c r="AR34" s="62"/>
      <c r="AS34" s="62">
        <f t="shared" ca="1" si="2"/>
        <v>306233.64659927983</v>
      </c>
      <c r="AT34" s="62"/>
      <c r="AU34" s="62">
        <f t="shared" ca="1" si="3"/>
        <v>18745.13</v>
      </c>
      <c r="AV34" s="62"/>
      <c r="AW34" s="62">
        <f t="shared" ca="1" si="4"/>
        <v>0</v>
      </c>
      <c r="AX34" s="62"/>
      <c r="AY34" s="62">
        <f t="shared" ca="1" si="5"/>
        <v>276972.27311472245</v>
      </c>
      <c r="AZ34" s="62"/>
      <c r="BA34" s="62">
        <f t="shared" ca="1" si="6"/>
        <v>0</v>
      </c>
    </row>
    <row r="35" spans="2:53" x14ac:dyDescent="0.25">
      <c r="B35" s="72">
        <v>21</v>
      </c>
      <c r="C35" s="47" t="str">
        <f>IF(F34&gt;0.005,"September","")</f>
        <v>September</v>
      </c>
      <c r="D35" s="80">
        <f t="shared" si="33"/>
        <v>16934.37</v>
      </c>
      <c r="E35" s="80">
        <f t="shared" si="21"/>
        <v>7708.7469262268714</v>
      </c>
      <c r="F35" s="80">
        <f t="shared" si="22"/>
        <v>4948692.8914754633</v>
      </c>
      <c r="G35" s="47"/>
      <c r="I35" s="81">
        <f t="shared" si="23"/>
        <v>16283.320226975704</v>
      </c>
      <c r="J35" s="82">
        <f t="shared" si="24"/>
        <v>4.1000000000000002E-2</v>
      </c>
      <c r="K35" s="81"/>
      <c r="L35" s="81">
        <f t="shared" si="25"/>
        <v>4749729.3355047684</v>
      </c>
      <c r="M35" s="83">
        <f t="shared" si="20"/>
        <v>14092.538185725514</v>
      </c>
      <c r="N35" s="84"/>
      <c r="O35" s="72">
        <v>21</v>
      </c>
      <c r="P35" s="47" t="str">
        <f>IF(S34&gt;0.005,"September","")</f>
        <v/>
      </c>
      <c r="Q35" s="80">
        <f t="shared" si="34"/>
        <v>0</v>
      </c>
      <c r="R35" s="80">
        <f t="shared" si="26"/>
        <v>0</v>
      </c>
      <c r="S35" s="80">
        <f t="shared" si="27"/>
        <v>0</v>
      </c>
      <c r="T35" s="47"/>
      <c r="U35" s="84"/>
      <c r="V35" s="72">
        <v>21</v>
      </c>
      <c r="W35" s="47" t="e">
        <f>IF(Z34&gt;0.005,"September","")</f>
        <v>#NAME?</v>
      </c>
      <c r="X35" s="80" t="e">
        <f t="shared" si="28"/>
        <v>#NAME?</v>
      </c>
      <c r="Y35" s="80"/>
      <c r="Z35" s="80" t="e">
        <f t="shared" si="29"/>
        <v>#NAME?</v>
      </c>
      <c r="AA35" s="47"/>
      <c r="AB35" s="84"/>
      <c r="AC35" s="83"/>
      <c r="AD35" s="47" t="str">
        <f>IF(AG34&gt;0.005,"September","")</f>
        <v/>
      </c>
      <c r="AE35" s="80">
        <f t="shared" si="30"/>
        <v>0</v>
      </c>
      <c r="AF35" s="80">
        <f t="shared" si="31"/>
        <v>0</v>
      </c>
      <c r="AG35" s="80">
        <f t="shared" si="32"/>
        <v>0</v>
      </c>
      <c r="AH35" s="47"/>
      <c r="AI35" s="61">
        <f t="shared" si="19"/>
        <v>455</v>
      </c>
      <c r="AJ35" s="61">
        <f t="shared" si="19"/>
        <v>454</v>
      </c>
      <c r="AK35" s="44">
        <v>30</v>
      </c>
      <c r="AL35" s="44"/>
      <c r="AM35" s="62">
        <f t="shared" ca="1" si="0"/>
        <v>7173.4100000000008</v>
      </c>
      <c r="AN35" s="62"/>
      <c r="AO35" s="62">
        <f t="shared" ca="1" si="1"/>
        <v>288543.99311472243</v>
      </c>
      <c r="AP35" s="62"/>
      <c r="AQ35" s="62">
        <f t="shared" ca="1" si="8"/>
        <v>5082310.3465154469</v>
      </c>
      <c r="AR35" s="62"/>
      <c r="AS35" s="62">
        <f t="shared" ca="1" si="2"/>
        <v>17689.653484557359</v>
      </c>
      <c r="AT35" s="62"/>
      <c r="AU35" s="62">
        <f t="shared" ca="1" si="3"/>
        <v>7173.4100000000008</v>
      </c>
      <c r="AV35" s="62"/>
      <c r="AW35" s="62">
        <f t="shared" ca="1" si="4"/>
        <v>0</v>
      </c>
      <c r="AX35" s="62"/>
      <c r="AY35" s="62">
        <f t="shared" ca="1" si="5"/>
        <v>288543.99311472243</v>
      </c>
      <c r="AZ35" s="62"/>
      <c r="BA35" s="62">
        <f t="shared" ca="1" si="6"/>
        <v>0</v>
      </c>
    </row>
    <row r="36" spans="2:53" x14ac:dyDescent="0.25">
      <c r="B36" s="72">
        <v>22</v>
      </c>
      <c r="C36" s="47" t="str">
        <f>IF(F35&gt;0.005,"October","")</f>
        <v>October</v>
      </c>
      <c r="D36" s="80">
        <f t="shared" si="33"/>
        <v>16908.03</v>
      </c>
      <c r="E36" s="80">
        <f t="shared" si="21"/>
        <v>7735.0869262268716</v>
      </c>
      <c r="F36" s="80">
        <f t="shared" si="22"/>
        <v>4940957.8045492368</v>
      </c>
      <c r="G36" s="47"/>
      <c r="I36" s="81">
        <f t="shared" si="23"/>
        <v>16228.24189630796</v>
      </c>
      <c r="J36" s="82">
        <f t="shared" si="24"/>
        <v>4.1000000000000002E-2</v>
      </c>
      <c r="K36" s="81"/>
      <c r="L36" s="81">
        <f t="shared" si="25"/>
        <v>4733663.3760274239</v>
      </c>
      <c r="M36" s="83">
        <f t="shared" si="20"/>
        <v>14086.182872590809</v>
      </c>
      <c r="N36" s="84"/>
      <c r="O36" s="72">
        <v>22</v>
      </c>
      <c r="P36" s="47" t="str">
        <f>IF(S35&gt;0.005,"October","")</f>
        <v/>
      </c>
      <c r="Q36" s="80">
        <f t="shared" si="34"/>
        <v>0</v>
      </c>
      <c r="R36" s="80">
        <f t="shared" si="26"/>
        <v>0</v>
      </c>
      <c r="S36" s="80">
        <f t="shared" si="27"/>
        <v>0</v>
      </c>
      <c r="T36" s="47"/>
      <c r="U36" s="84"/>
      <c r="V36" s="72">
        <v>22</v>
      </c>
      <c r="W36" s="47" t="e">
        <f>IF(Z35&gt;0.005,"October","")</f>
        <v>#NAME?</v>
      </c>
      <c r="X36" s="80" t="e">
        <f t="shared" si="28"/>
        <v>#NAME?</v>
      </c>
      <c r="Y36" s="80"/>
      <c r="Z36" s="80" t="e">
        <f t="shared" si="29"/>
        <v>#NAME?</v>
      </c>
      <c r="AA36" s="47"/>
      <c r="AB36" s="84"/>
      <c r="AC36" s="83"/>
      <c r="AD36" s="47" t="str">
        <f>IF(AG35&gt;0.005,"October","")</f>
        <v/>
      </c>
      <c r="AE36" s="80">
        <f t="shared" si="30"/>
        <v>0</v>
      </c>
      <c r="AF36" s="80">
        <f t="shared" si="31"/>
        <v>0</v>
      </c>
      <c r="AG36" s="80">
        <f t="shared" si="32"/>
        <v>0</v>
      </c>
      <c r="AH36" s="47"/>
      <c r="AI36" s="61">
        <f t="shared" si="19"/>
        <v>470</v>
      </c>
      <c r="AJ36" s="61">
        <f t="shared" si="19"/>
        <v>469</v>
      </c>
      <c r="AK36" s="44">
        <v>31</v>
      </c>
      <c r="AL36" s="44"/>
      <c r="AM36" s="62">
        <f t="shared" ca="1" si="0"/>
        <v>60.44</v>
      </c>
      <c r="AN36" s="62"/>
      <c r="AO36" s="62">
        <f t="shared" ca="1" si="1"/>
        <v>17689.653484557359</v>
      </c>
      <c r="AP36" s="62"/>
      <c r="AQ36" s="62">
        <f t="shared" ca="1" si="8"/>
        <v>5100000.0000000047</v>
      </c>
      <c r="AR36" s="62"/>
      <c r="AS36" s="62">
        <f t="shared" ca="1" si="2"/>
        <v>0</v>
      </c>
      <c r="AT36" s="62"/>
      <c r="AU36" s="62">
        <f t="shared" ca="1" si="3"/>
        <v>60.44</v>
      </c>
      <c r="AV36" s="62"/>
      <c r="AW36" s="62">
        <f t="shared" ca="1" si="4"/>
        <v>0</v>
      </c>
      <c r="AX36" s="62"/>
      <c r="AY36" s="62">
        <f t="shared" ca="1" si="5"/>
        <v>17689.653484557359</v>
      </c>
      <c r="AZ36" s="62"/>
      <c r="BA36" s="62">
        <f t="shared" ca="1" si="6"/>
        <v>0</v>
      </c>
    </row>
    <row r="37" spans="2:53" x14ac:dyDescent="0.25">
      <c r="B37" s="72">
        <v>23</v>
      </c>
      <c r="C37" s="47" t="str">
        <f>IF(F36&gt;0.005,"November","")</f>
        <v>November</v>
      </c>
      <c r="D37" s="80">
        <f t="shared" si="33"/>
        <v>16881.61</v>
      </c>
      <c r="E37" s="80">
        <f t="shared" si="21"/>
        <v>7761.5069262268698</v>
      </c>
      <c r="F37" s="80">
        <f t="shared" si="22"/>
        <v>4933196.2976230104</v>
      </c>
      <c r="G37" s="47"/>
      <c r="I37" s="81">
        <f t="shared" si="23"/>
        <v>16173.349868093699</v>
      </c>
      <c r="J37" s="82">
        <f t="shared" si="24"/>
        <v>4.1000000000000002E-2</v>
      </c>
      <c r="K37" s="81"/>
      <c r="L37" s="81">
        <f t="shared" si="25"/>
        <v>4717651.7596580116</v>
      </c>
      <c r="M37" s="83">
        <f t="shared" si="20"/>
        <v>14079.953668721448</v>
      </c>
      <c r="N37" s="84"/>
      <c r="O37" s="72">
        <v>23</v>
      </c>
      <c r="P37" s="47" t="str">
        <f>IF(S36&gt;0.005,"November","")</f>
        <v/>
      </c>
      <c r="Q37" s="80">
        <f t="shared" si="34"/>
        <v>0</v>
      </c>
      <c r="R37" s="80">
        <f t="shared" si="26"/>
        <v>0</v>
      </c>
      <c r="S37" s="80">
        <f t="shared" si="27"/>
        <v>0</v>
      </c>
      <c r="T37" s="47"/>
      <c r="U37" s="84"/>
      <c r="V37" s="72">
        <v>23</v>
      </c>
      <c r="W37" s="47" t="e">
        <f>IF(Z36&gt;0.005,"November","")</f>
        <v>#NAME?</v>
      </c>
      <c r="X37" s="80" t="e">
        <f t="shared" si="28"/>
        <v>#NAME?</v>
      </c>
      <c r="Y37" s="80"/>
      <c r="Z37" s="80" t="e">
        <f t="shared" si="29"/>
        <v>#NAME?</v>
      </c>
      <c r="AA37" s="47"/>
      <c r="AB37" s="84"/>
      <c r="AC37" s="83"/>
      <c r="AD37" s="47" t="str">
        <f>IF(AG36&gt;0.005,"November","")</f>
        <v/>
      </c>
      <c r="AE37" s="80">
        <f t="shared" si="30"/>
        <v>0</v>
      </c>
      <c r="AF37" s="80">
        <f t="shared" si="31"/>
        <v>0</v>
      </c>
      <c r="AG37" s="80">
        <f t="shared" si="32"/>
        <v>0</v>
      </c>
      <c r="AH37" s="47"/>
      <c r="AK37" s="44"/>
      <c r="AL37" s="44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</row>
    <row r="38" spans="2:53" x14ac:dyDescent="0.25">
      <c r="B38" s="72">
        <v>24</v>
      </c>
      <c r="C38" s="47" t="str">
        <f>IF(F37&gt;0.005,"December","")</f>
        <v>December</v>
      </c>
      <c r="D38" s="80">
        <f>IF(F37&gt;0,ROUND(F37*($F$6/12),2),0)</f>
        <v>16855.09</v>
      </c>
      <c r="E38" s="80">
        <f t="shared" si="21"/>
        <v>7788.0269262268703</v>
      </c>
      <c r="F38" s="80">
        <f t="shared" si="22"/>
        <v>4925408.2706967834</v>
      </c>
      <c r="G38" s="47"/>
      <c r="I38" s="81">
        <f t="shared" si="23"/>
        <v>16118.643512164874</v>
      </c>
      <c r="J38" s="82">
        <f t="shared" si="24"/>
        <v>4.1000000000000002E-2</v>
      </c>
      <c r="K38" s="81"/>
      <c r="L38" s="81">
        <f t="shared" si="25"/>
        <v>4701694.3025809685</v>
      </c>
      <c r="M38" s="83">
        <f t="shared" si="20"/>
        <v>14073.851141518735</v>
      </c>
      <c r="N38" s="84"/>
      <c r="O38" s="72">
        <v>24</v>
      </c>
      <c r="P38" s="47" t="str">
        <f>IF(S37&gt;0.005,"December","")</f>
        <v/>
      </c>
      <c r="Q38" s="80">
        <f t="shared" si="34"/>
        <v>0</v>
      </c>
      <c r="R38" s="80">
        <f t="shared" si="26"/>
        <v>0</v>
      </c>
      <c r="S38" s="80">
        <f t="shared" si="27"/>
        <v>0</v>
      </c>
      <c r="T38" s="47"/>
      <c r="U38" s="84"/>
      <c r="V38" s="72">
        <v>24</v>
      </c>
      <c r="W38" s="47" t="e">
        <f>IF(Z37&gt;0.005,"December","")</f>
        <v>#NAME?</v>
      </c>
      <c r="X38" s="80" t="e">
        <f t="shared" si="28"/>
        <v>#NAME?</v>
      </c>
      <c r="Y38" s="80"/>
      <c r="Z38" s="80" t="e">
        <f t="shared" si="29"/>
        <v>#NAME?</v>
      </c>
      <c r="AA38" s="47"/>
      <c r="AB38" s="84"/>
      <c r="AC38" s="83"/>
      <c r="AD38" s="47" t="str">
        <f>IF(AG37&gt;0.005,"December","")</f>
        <v/>
      </c>
      <c r="AE38" s="80">
        <f t="shared" si="30"/>
        <v>0</v>
      </c>
      <c r="AF38" s="80">
        <f t="shared" si="31"/>
        <v>0</v>
      </c>
      <c r="AG38" s="80">
        <f t="shared" si="32"/>
        <v>0</v>
      </c>
      <c r="AH38" s="47"/>
      <c r="AK38" s="44"/>
      <c r="AL38" s="44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</row>
    <row r="39" spans="2:53" x14ac:dyDescent="0.25">
      <c r="B39" s="46"/>
      <c r="C39" s="85" t="str">
        <f>"Total "&amp;YEAR($C$9)+1</f>
        <v>Total 2020</v>
      </c>
      <c r="D39" s="86">
        <f>SUM(D27:D38)</f>
        <v>203991.54999999996</v>
      </c>
      <c r="E39" s="86">
        <f>SUM(E27:E38)</f>
        <v>91725.853114722442</v>
      </c>
      <c r="F39" s="87"/>
      <c r="G39" s="47"/>
      <c r="I39" s="86">
        <f>SUM(I27:I38)</f>
        <v>197075.50317389984</v>
      </c>
      <c r="J39" s="46"/>
      <c r="K39" s="86">
        <f>SUM(K27:K38)</f>
        <v>0</v>
      </c>
      <c r="L39" s="46"/>
      <c r="M39" s="46"/>
      <c r="O39" s="46"/>
      <c r="P39" s="85" t="str">
        <f>"Total "&amp;YEAR($C$9)+1</f>
        <v>Total 2020</v>
      </c>
      <c r="Q39" s="86">
        <f>SUM(Q27:Q38)</f>
        <v>0</v>
      </c>
      <c r="R39" s="86">
        <f>SUM(R27:R38)</f>
        <v>0</v>
      </c>
      <c r="S39" s="87"/>
      <c r="T39" s="47"/>
      <c r="V39" s="46"/>
      <c r="W39" s="85" t="str">
        <f>"Total "&amp;YEAR($C$9)+1</f>
        <v>Total 2020</v>
      </c>
      <c r="X39" s="86" t="e">
        <f>SUM(X27:X38)</f>
        <v>#NAME?</v>
      </c>
      <c r="Y39" s="86">
        <f>SUM(Y27:Y38)</f>
        <v>0</v>
      </c>
      <c r="Z39" s="87"/>
      <c r="AA39" s="47"/>
      <c r="AC39" s="46"/>
      <c r="AD39" s="85" t="str">
        <f>"Total "&amp;YEAR($C$9)+1</f>
        <v>Total 2020</v>
      </c>
      <c r="AE39" s="86">
        <f>SUM(AE27:AE38)</f>
        <v>0</v>
      </c>
      <c r="AF39" s="86">
        <f>SUM(AF27:AF38)</f>
        <v>0</v>
      </c>
      <c r="AG39" s="87"/>
      <c r="AH39" s="47"/>
      <c r="AK39" s="44"/>
      <c r="AL39" s="44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</row>
    <row r="40" spans="2:53" x14ac:dyDescent="0.25">
      <c r="B40" s="46"/>
      <c r="C40" s="47"/>
      <c r="D40" s="80"/>
      <c r="E40" s="80"/>
      <c r="F40" s="80"/>
      <c r="G40" s="47"/>
      <c r="I40" s="46"/>
      <c r="J40" s="46"/>
      <c r="K40" s="46"/>
      <c r="L40" s="46"/>
      <c r="M40" s="46"/>
      <c r="O40" s="46"/>
      <c r="P40" s="47"/>
      <c r="Q40" s="80"/>
      <c r="R40" s="80"/>
      <c r="S40" s="80"/>
      <c r="T40" s="47"/>
      <c r="V40" s="46"/>
      <c r="W40" s="47"/>
      <c r="X40" s="80"/>
      <c r="Y40" s="80"/>
      <c r="Z40" s="80"/>
      <c r="AA40" s="47"/>
      <c r="AC40" s="46"/>
      <c r="AD40" s="47"/>
      <c r="AE40" s="80"/>
      <c r="AF40" s="80"/>
      <c r="AG40" s="80"/>
      <c r="AH40" s="47"/>
      <c r="AK40" s="44"/>
      <c r="AL40" s="44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</row>
    <row r="41" spans="2:53" x14ac:dyDescent="0.25">
      <c r="B41" s="46"/>
      <c r="C41" s="47"/>
      <c r="D41" s="75" t="s">
        <v>62</v>
      </c>
      <c r="E41" s="75" t="s">
        <v>63</v>
      </c>
      <c r="F41" s="75" t="s">
        <v>64</v>
      </c>
      <c r="G41" s="47"/>
      <c r="I41" s="46"/>
      <c r="J41" s="46"/>
      <c r="K41" s="46"/>
      <c r="L41" s="46"/>
      <c r="M41" s="46"/>
      <c r="O41" s="46"/>
      <c r="P41" s="47"/>
      <c r="Q41" s="75" t="s">
        <v>62</v>
      </c>
      <c r="R41" s="75" t="s">
        <v>63</v>
      </c>
      <c r="S41" s="75" t="s">
        <v>64</v>
      </c>
      <c r="T41" s="47"/>
      <c r="V41" s="46"/>
      <c r="W41" s="47"/>
      <c r="X41" s="75" t="s">
        <v>62</v>
      </c>
      <c r="Y41" s="75" t="s">
        <v>63</v>
      </c>
      <c r="Z41" s="75" t="s">
        <v>64</v>
      </c>
      <c r="AA41" s="47"/>
      <c r="AC41" s="46"/>
      <c r="AD41" s="47"/>
      <c r="AE41" s="75" t="s">
        <v>62</v>
      </c>
      <c r="AF41" s="75" t="s">
        <v>63</v>
      </c>
      <c r="AG41" s="75" t="s">
        <v>64</v>
      </c>
      <c r="AH41" s="47"/>
      <c r="AK41" s="44"/>
      <c r="AL41" s="44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</row>
    <row r="42" spans="2:53" x14ac:dyDescent="0.25">
      <c r="B42" s="72">
        <v>25</v>
      </c>
      <c r="C42" s="47" t="str">
        <f>IF(F38&gt;0.005,"January","")</f>
        <v>January</v>
      </c>
      <c r="D42" s="80">
        <f>IF(F38&gt;0,ROUND(F38*($F$6/12),2),0)</f>
        <v>16828.48</v>
      </c>
      <c r="E42" s="80">
        <f>IF(F38&lt;$D$8,F38,$D$8-D42)</f>
        <v>7814.6369262268709</v>
      </c>
      <c r="F42" s="80">
        <f>IF(F38-E42&gt;0,F38-E42,0)</f>
        <v>4917593.6337705562</v>
      </c>
      <c r="G42" s="47"/>
      <c r="I42" s="81">
        <f>L38*J42/12</f>
        <v>16064.122200484977</v>
      </c>
      <c r="J42" s="82">
        <f>$F$6</f>
        <v>4.1000000000000002E-2</v>
      </c>
      <c r="K42" s="81"/>
      <c r="L42" s="81">
        <f>MAX(L38+L38*($F$6/100)/12-I42-K42,0)</f>
        <v>4685790.8216024879</v>
      </c>
      <c r="M42" s="83">
        <f t="shared" ref="M42:M53" si="35">-PMT(($F$6/100)/12,$D$7-B42,L42,0,0)</f>
        <v>14067.875867063403</v>
      </c>
      <c r="N42" s="84"/>
      <c r="O42" s="72">
        <v>25</v>
      </c>
      <c r="P42" s="47" t="str">
        <f>IF(S38&gt;0.005,"January","")</f>
        <v/>
      </c>
      <c r="Q42" s="80">
        <f>IF(O42&lt;$S$7,"",IF(O42=$S$7,$Q$6*($S$6/12),S38*($S$6/12)))</f>
        <v>0</v>
      </c>
      <c r="R42" s="80">
        <f>IF(O42&lt;$S$7,"",$Q$8-Q42)</f>
        <v>0</v>
      </c>
      <c r="S42" s="80">
        <f>IF(O42&lt;$S$7,"",IF(O42=$S$7,$Q$6-R42,S38-R42))</f>
        <v>0</v>
      </c>
      <c r="T42" s="47"/>
      <c r="U42" s="84"/>
      <c r="V42" s="72">
        <v>25</v>
      </c>
      <c r="W42" s="47" t="e">
        <f>IF(Z38&gt;0.005,"January","")</f>
        <v>#NAME?</v>
      </c>
      <c r="X42" s="80" t="e">
        <f>IF(V42&lt;$Z$7,"",($Z$6/12)*$X$6)</f>
        <v>#NAME?</v>
      </c>
      <c r="Y42" s="80"/>
      <c r="Z42" s="80" t="e">
        <f>IF(V42&lt;$S$7,"",$X$6)</f>
        <v>#NAME?</v>
      </c>
      <c r="AA42" s="47"/>
      <c r="AB42" s="84"/>
      <c r="AC42" s="83"/>
      <c r="AD42" s="47" t="str">
        <f>IF(AG38&gt;0.005,"January","")</f>
        <v/>
      </c>
      <c r="AE42" s="80">
        <f>IF(AG38&gt;0,ROUND(AG38*($AG$6/1200),2),0)</f>
        <v>0</v>
      </c>
      <c r="AF42" s="80">
        <f>IF(AG38&lt;$AE$8,AG38,$AE$8-AE42)</f>
        <v>0</v>
      </c>
      <c r="AG42" s="80">
        <f>IF(AG38-AF42&gt;0,AG38-AF42,0)</f>
        <v>0</v>
      </c>
      <c r="AH42" s="47"/>
      <c r="AK42" s="44"/>
      <c r="AL42" s="44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</row>
    <row r="43" spans="2:53" x14ac:dyDescent="0.25">
      <c r="B43" s="72">
        <v>26</v>
      </c>
      <c r="C43" s="47" t="str">
        <f>IF(F42&gt;0.005,"February","")</f>
        <v>February</v>
      </c>
      <c r="D43" s="80">
        <f>IF(F42&gt;0,ROUND(F42*($F$6/12),2),0)</f>
        <v>16801.78</v>
      </c>
      <c r="E43" s="80">
        <f t="shared" ref="E43:E53" si="36">IF(F42&lt;$D$8,F42,$D$8-D43)</f>
        <v>7841.3369262268716</v>
      </c>
      <c r="F43" s="80">
        <f t="shared" ref="F43:F53" si="37">IF(F42-E43&gt;0,F42-E43,0)</f>
        <v>4909752.2968443297</v>
      </c>
      <c r="G43" s="47"/>
      <c r="I43" s="81">
        <f t="shared" ref="I43:I53" si="38">L42*J43/12</f>
        <v>16009.785307141834</v>
      </c>
      <c r="J43" s="82">
        <f t="shared" ref="J43:J53" si="39">$F$6</f>
        <v>4.1000000000000002E-2</v>
      </c>
      <c r="K43" s="81"/>
      <c r="L43" s="81">
        <f t="shared" ref="L43:L53" si="40">MAX(L42+L42*($F$6/100)/12-I43-K43,0)</f>
        <v>4669941.134148417</v>
      </c>
      <c r="M43" s="83">
        <f t="shared" si="35"/>
        <v>14062.028430239059</v>
      </c>
      <c r="N43" s="84"/>
      <c r="O43" s="72">
        <v>26</v>
      </c>
      <c r="P43" s="47" t="str">
        <f>IF(S42&gt;0.005,"February","")</f>
        <v/>
      </c>
      <c r="Q43" s="80">
        <f>IF(O43&lt;$S$7,"",IF(O43=$S$7,$Q$6*($S$6/12),S42*($S$6/12)))</f>
        <v>0</v>
      </c>
      <c r="R43" s="80">
        <f t="shared" ref="R43:R53" si="41">IF(O43&lt;$S$7,"",$Q$8-Q43)</f>
        <v>0</v>
      </c>
      <c r="S43" s="80">
        <f t="shared" ref="S43:S53" si="42">IF(O43&lt;$S$7,"",IF(O43=$S$7,$Q$6-R43,S42-R43))</f>
        <v>0</v>
      </c>
      <c r="T43" s="47"/>
      <c r="U43" s="84"/>
      <c r="V43" s="72">
        <v>26</v>
      </c>
      <c r="W43" s="47" t="e">
        <f>IF(Z42&gt;0.005,"February","")</f>
        <v>#NAME?</v>
      </c>
      <c r="X43" s="80" t="e">
        <f t="shared" ref="X43:X53" si="43">IF(V43&lt;$Z$7,"",($Z$6/12)*$X$6)</f>
        <v>#NAME?</v>
      </c>
      <c r="Y43" s="80"/>
      <c r="Z43" s="80" t="e">
        <f t="shared" ref="Z43:Z53" si="44">IF(V43&lt;$S$7,"",$X$6)</f>
        <v>#NAME?</v>
      </c>
      <c r="AA43" s="47"/>
      <c r="AB43" s="84"/>
      <c r="AC43" s="83"/>
      <c r="AD43" s="47" t="str">
        <f>IF(AG42&gt;0.005,"February","")</f>
        <v/>
      </c>
      <c r="AE43" s="80">
        <f t="shared" ref="AE43:AE53" si="45">IF(AG42&gt;0,ROUND(AG42*($AG$6/1200),2),0)</f>
        <v>0</v>
      </c>
      <c r="AF43" s="80">
        <f t="shared" ref="AF43:AF53" si="46">IF(AG42&lt;$AE$8,AG42,$AE$8-AE43)</f>
        <v>0</v>
      </c>
      <c r="AG43" s="80">
        <f t="shared" ref="AG43:AG53" si="47">IF(AG42-AF43&gt;0,AG42-AF43,0)</f>
        <v>0</v>
      </c>
      <c r="AH43" s="47"/>
      <c r="AK43" s="44"/>
      <c r="AL43" s="44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</row>
    <row r="44" spans="2:53" x14ac:dyDescent="0.25">
      <c r="B44" s="72">
        <v>27</v>
      </c>
      <c r="C44" s="47" t="str">
        <f>IF(F43&gt;0.005,"March","")</f>
        <v>March</v>
      </c>
      <c r="D44" s="80">
        <f t="shared" ref="D44:D52" si="48">IF(F43&gt;0,ROUND(F43*($F$6/12),2),0)</f>
        <v>16774.990000000002</v>
      </c>
      <c r="E44" s="80">
        <f t="shared" si="36"/>
        <v>7868.1269262268688</v>
      </c>
      <c r="F44" s="80">
        <f t="shared" si="37"/>
        <v>4901884.1699181031</v>
      </c>
      <c r="G44" s="47"/>
      <c r="I44" s="81">
        <f t="shared" si="38"/>
        <v>15955.632208340425</v>
      </c>
      <c r="J44" s="82">
        <f t="shared" si="39"/>
        <v>4.1000000000000002E-2</v>
      </c>
      <c r="K44" s="81"/>
      <c r="L44" s="81">
        <f t="shared" si="40"/>
        <v>4654145.05826216</v>
      </c>
      <c r="M44" s="83">
        <f t="shared" si="35"/>
        <v>14056.309424857864</v>
      </c>
      <c r="N44" s="84"/>
      <c r="O44" s="72">
        <v>27</v>
      </c>
      <c r="P44" s="47" t="str">
        <f>IF(S43&gt;0.005,"March","")</f>
        <v/>
      </c>
      <c r="Q44" s="80">
        <f t="shared" ref="Q44:Q53" si="49">IF(O44&lt;$S$7,"",IF(O44=$S$7,$Q$6*($S$6/12),S43*($S$6/12)))</f>
        <v>0</v>
      </c>
      <c r="R44" s="80">
        <f t="shared" si="41"/>
        <v>0</v>
      </c>
      <c r="S44" s="80">
        <f t="shared" si="42"/>
        <v>0</v>
      </c>
      <c r="T44" s="47"/>
      <c r="U44" s="84"/>
      <c r="V44" s="72">
        <v>27</v>
      </c>
      <c r="W44" s="47" t="e">
        <f>IF(Z43&gt;0.005,"March","")</f>
        <v>#NAME?</v>
      </c>
      <c r="X44" s="80" t="e">
        <f t="shared" si="43"/>
        <v>#NAME?</v>
      </c>
      <c r="Y44" s="80"/>
      <c r="Z44" s="80" t="e">
        <f t="shared" si="44"/>
        <v>#NAME?</v>
      </c>
      <c r="AA44" s="47"/>
      <c r="AB44" s="84"/>
      <c r="AC44" s="83"/>
      <c r="AD44" s="47" t="str">
        <f>IF(AG43&gt;0.005,"March","")</f>
        <v/>
      </c>
      <c r="AE44" s="80">
        <f t="shared" si="45"/>
        <v>0</v>
      </c>
      <c r="AF44" s="80">
        <f t="shared" si="46"/>
        <v>0</v>
      </c>
      <c r="AG44" s="80">
        <f t="shared" si="47"/>
        <v>0</v>
      </c>
      <c r="AH44" s="47"/>
      <c r="AK44" s="44"/>
      <c r="AL44" s="44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</row>
    <row r="45" spans="2:53" x14ac:dyDescent="0.25">
      <c r="B45" s="72">
        <v>28</v>
      </c>
      <c r="C45" s="47" t="str">
        <f>IF(F44&gt;0.005,"April","")</f>
        <v>April</v>
      </c>
      <c r="D45" s="80">
        <f t="shared" si="48"/>
        <v>16748.099999999999</v>
      </c>
      <c r="E45" s="80">
        <f t="shared" si="36"/>
        <v>7895.0169262268719</v>
      </c>
      <c r="F45" s="80">
        <f t="shared" si="37"/>
        <v>4893989.152991876</v>
      </c>
      <c r="G45" s="47"/>
      <c r="I45" s="81">
        <f t="shared" si="38"/>
        <v>15901.662282395715</v>
      </c>
      <c r="J45" s="82">
        <f t="shared" si="39"/>
        <v>4.1000000000000002E-2</v>
      </c>
      <c r="K45" s="81"/>
      <c r="L45" s="81">
        <f t="shared" si="40"/>
        <v>4638402.4126025876</v>
      </c>
      <c r="M45" s="83">
        <f t="shared" si="35"/>
        <v>14050.719453788499</v>
      </c>
      <c r="N45" s="84"/>
      <c r="O45" s="72">
        <v>28</v>
      </c>
      <c r="P45" s="47" t="str">
        <f>IF(S44&gt;0.005,"April","")</f>
        <v/>
      </c>
      <c r="Q45" s="80">
        <f t="shared" si="49"/>
        <v>0</v>
      </c>
      <c r="R45" s="80">
        <f t="shared" si="41"/>
        <v>0</v>
      </c>
      <c r="S45" s="80">
        <f t="shared" si="42"/>
        <v>0</v>
      </c>
      <c r="T45" s="47"/>
      <c r="U45" s="84"/>
      <c r="V45" s="72">
        <v>28</v>
      </c>
      <c r="W45" s="47" t="e">
        <f>IF(Z44&gt;0.005,"April","")</f>
        <v>#NAME?</v>
      </c>
      <c r="X45" s="80" t="e">
        <f t="shared" si="43"/>
        <v>#NAME?</v>
      </c>
      <c r="Y45" s="80"/>
      <c r="Z45" s="80" t="e">
        <f t="shared" si="44"/>
        <v>#NAME?</v>
      </c>
      <c r="AA45" s="47"/>
      <c r="AB45" s="84"/>
      <c r="AC45" s="83"/>
      <c r="AD45" s="47" t="str">
        <f>IF(AG44&gt;0.005,"April","")</f>
        <v/>
      </c>
      <c r="AE45" s="80">
        <f t="shared" si="45"/>
        <v>0</v>
      </c>
      <c r="AF45" s="80">
        <f t="shared" si="46"/>
        <v>0</v>
      </c>
      <c r="AG45" s="80">
        <f t="shared" si="47"/>
        <v>0</v>
      </c>
      <c r="AH45" s="47"/>
      <c r="AK45" s="44"/>
      <c r="AL45" s="44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</row>
    <row r="46" spans="2:53" x14ac:dyDescent="0.25">
      <c r="B46" s="72">
        <v>29</v>
      </c>
      <c r="C46" s="47" t="str">
        <f>IF(F45&gt;0.005,"May","")</f>
        <v>May</v>
      </c>
      <c r="D46" s="80">
        <f t="shared" si="48"/>
        <v>16721.13</v>
      </c>
      <c r="E46" s="80">
        <f t="shared" si="36"/>
        <v>7921.9869262268694</v>
      </c>
      <c r="F46" s="80">
        <f t="shared" si="37"/>
        <v>4886067.1660656491</v>
      </c>
      <c r="G46" s="47"/>
      <c r="I46" s="81">
        <f t="shared" si="38"/>
        <v>15847.874909725508</v>
      </c>
      <c r="J46" s="82">
        <f t="shared" si="39"/>
        <v>4.1000000000000002E-2</v>
      </c>
      <c r="K46" s="81"/>
      <c r="L46" s="81">
        <f t="shared" si="40"/>
        <v>4622713.016441959</v>
      </c>
      <c r="M46" s="83">
        <f t="shared" si="35"/>
        <v>14045.259129086506</v>
      </c>
      <c r="N46" s="84"/>
      <c r="O46" s="72">
        <v>29</v>
      </c>
      <c r="P46" s="47" t="str">
        <f>IF(S45&gt;0.005,"May","")</f>
        <v/>
      </c>
      <c r="Q46" s="80">
        <f t="shared" si="49"/>
        <v>0</v>
      </c>
      <c r="R46" s="80">
        <f t="shared" si="41"/>
        <v>0</v>
      </c>
      <c r="S46" s="80">
        <f t="shared" si="42"/>
        <v>0</v>
      </c>
      <c r="T46" s="47"/>
      <c r="U46" s="84"/>
      <c r="V46" s="72">
        <v>29</v>
      </c>
      <c r="W46" s="47" t="e">
        <f>IF(Z45&gt;0.005,"May","")</f>
        <v>#NAME?</v>
      </c>
      <c r="X46" s="80" t="e">
        <f t="shared" si="43"/>
        <v>#NAME?</v>
      </c>
      <c r="Y46" s="80"/>
      <c r="Z46" s="80" t="e">
        <f t="shared" si="44"/>
        <v>#NAME?</v>
      </c>
      <c r="AA46" s="47"/>
      <c r="AB46" s="84"/>
      <c r="AC46" s="83"/>
      <c r="AD46" s="47" t="str">
        <f>IF(AG45&gt;0.005,"May","")</f>
        <v/>
      </c>
      <c r="AE46" s="80">
        <f t="shared" si="45"/>
        <v>0</v>
      </c>
      <c r="AF46" s="80">
        <f t="shared" si="46"/>
        <v>0</v>
      </c>
      <c r="AG46" s="80">
        <f t="shared" si="47"/>
        <v>0</v>
      </c>
      <c r="AH46" s="47"/>
    </row>
    <row r="47" spans="2:53" x14ac:dyDescent="0.25">
      <c r="B47" s="72">
        <v>30</v>
      </c>
      <c r="C47" s="47" t="str">
        <f>IF(F46&gt;0.005,"June","")</f>
        <v>June</v>
      </c>
      <c r="D47" s="80">
        <f t="shared" si="48"/>
        <v>16694.060000000001</v>
      </c>
      <c r="E47" s="80">
        <f t="shared" si="36"/>
        <v>7949.0569262268691</v>
      </c>
      <c r="F47" s="80">
        <f t="shared" si="37"/>
        <v>4878118.109139422</v>
      </c>
      <c r="G47" s="47"/>
      <c r="I47" s="81">
        <f t="shared" si="38"/>
        <v>15794.269472843362</v>
      </c>
      <c r="J47" s="82">
        <f t="shared" si="39"/>
        <v>4.1000000000000002E-2</v>
      </c>
      <c r="K47" s="81"/>
      <c r="L47" s="81">
        <f t="shared" si="40"/>
        <v>4607076.6896638442</v>
      </c>
      <c r="M47" s="83">
        <f t="shared" si="35"/>
        <v>14039.92907212699</v>
      </c>
      <c r="N47" s="84"/>
      <c r="O47" s="72">
        <v>30</v>
      </c>
      <c r="P47" s="47" t="str">
        <f>IF(S46&gt;0.005,"June","")</f>
        <v/>
      </c>
      <c r="Q47" s="80">
        <f t="shared" si="49"/>
        <v>0</v>
      </c>
      <c r="R47" s="80">
        <f t="shared" si="41"/>
        <v>0</v>
      </c>
      <c r="S47" s="80">
        <f t="shared" si="42"/>
        <v>0</v>
      </c>
      <c r="T47" s="47"/>
      <c r="U47" s="84"/>
      <c r="V47" s="72">
        <v>30</v>
      </c>
      <c r="W47" s="47" t="e">
        <f>IF(Z46&gt;0.005,"June","")</f>
        <v>#NAME?</v>
      </c>
      <c r="X47" s="80" t="e">
        <f t="shared" si="43"/>
        <v>#NAME?</v>
      </c>
      <c r="Y47" s="80"/>
      <c r="Z47" s="80" t="e">
        <f t="shared" si="44"/>
        <v>#NAME?</v>
      </c>
      <c r="AA47" s="47"/>
      <c r="AB47" s="84"/>
      <c r="AC47" s="83"/>
      <c r="AD47" s="47" t="str">
        <f>IF(AG46&gt;0.005,"June","")</f>
        <v/>
      </c>
      <c r="AE47" s="80">
        <f t="shared" si="45"/>
        <v>0</v>
      </c>
      <c r="AF47" s="80">
        <f t="shared" si="46"/>
        <v>0</v>
      </c>
      <c r="AG47" s="80">
        <f t="shared" si="47"/>
        <v>0</v>
      </c>
      <c r="AH47" s="47"/>
    </row>
    <row r="48" spans="2:53" x14ac:dyDescent="0.25">
      <c r="B48" s="72">
        <v>31</v>
      </c>
      <c r="C48" s="47" t="str">
        <f>IF(F47&gt;0.005,"July","")</f>
        <v>July</v>
      </c>
      <c r="D48" s="80">
        <f t="shared" si="48"/>
        <v>16666.900000000001</v>
      </c>
      <c r="E48" s="80">
        <f t="shared" si="36"/>
        <v>7976.216926226869</v>
      </c>
      <c r="F48" s="80">
        <f t="shared" si="37"/>
        <v>4870141.8922131946</v>
      </c>
      <c r="G48" s="47"/>
      <c r="I48" s="81">
        <f t="shared" si="38"/>
        <v>15740.845356351469</v>
      </c>
      <c r="J48" s="82">
        <f t="shared" si="39"/>
        <v>4.1000000000000002E-2</v>
      </c>
      <c r="K48" s="81"/>
      <c r="L48" s="81">
        <f t="shared" si="40"/>
        <v>4591493.2527610557</v>
      </c>
      <c r="M48" s="83">
        <f t="shared" si="35"/>
        <v>14034.729913739768</v>
      </c>
      <c r="N48" s="84"/>
      <c r="O48" s="72">
        <v>31</v>
      </c>
      <c r="P48" s="47" t="str">
        <f>IF(S47&gt;0.005,"July","")</f>
        <v/>
      </c>
      <c r="Q48" s="80">
        <f t="shared" si="49"/>
        <v>0</v>
      </c>
      <c r="R48" s="80">
        <f t="shared" si="41"/>
        <v>0</v>
      </c>
      <c r="S48" s="80">
        <f t="shared" si="42"/>
        <v>0</v>
      </c>
      <c r="T48" s="47"/>
      <c r="U48" s="84"/>
      <c r="V48" s="72">
        <v>31</v>
      </c>
      <c r="W48" s="47" t="e">
        <f>IF(Z47&gt;0.005,"July","")</f>
        <v>#NAME?</v>
      </c>
      <c r="X48" s="80" t="e">
        <f t="shared" si="43"/>
        <v>#NAME?</v>
      </c>
      <c r="Y48" s="80"/>
      <c r="Z48" s="80" t="e">
        <f t="shared" si="44"/>
        <v>#NAME?</v>
      </c>
      <c r="AA48" s="47"/>
      <c r="AB48" s="84"/>
      <c r="AC48" s="83"/>
      <c r="AD48" s="47" t="str">
        <f>IF(AG47&gt;0.005,"July","")</f>
        <v/>
      </c>
      <c r="AE48" s="80">
        <f t="shared" si="45"/>
        <v>0</v>
      </c>
      <c r="AF48" s="80">
        <f t="shared" si="46"/>
        <v>0</v>
      </c>
      <c r="AG48" s="80">
        <f t="shared" si="47"/>
        <v>0</v>
      </c>
      <c r="AH48" s="47"/>
    </row>
    <row r="49" spans="2:63" x14ac:dyDescent="0.25">
      <c r="B49" s="72">
        <v>32</v>
      </c>
      <c r="C49" s="47" t="str">
        <f>IF(F48&gt;0.005,"August","")</f>
        <v>August</v>
      </c>
      <c r="D49" s="80">
        <f t="shared" si="48"/>
        <v>16639.650000000001</v>
      </c>
      <c r="E49" s="80">
        <f t="shared" si="36"/>
        <v>8003.466926226869</v>
      </c>
      <c r="F49" s="80">
        <f t="shared" si="37"/>
        <v>4862138.4252869673</v>
      </c>
      <c r="G49" s="47"/>
      <c r="I49" s="81">
        <f t="shared" si="38"/>
        <v>15687.601946933608</v>
      </c>
      <c r="J49" s="82">
        <f t="shared" si="39"/>
        <v>4.1000000000000002E-2</v>
      </c>
      <c r="K49" s="81"/>
      <c r="L49" s="81">
        <f t="shared" si="40"/>
        <v>4575962.526833592</v>
      </c>
      <c r="M49" s="83">
        <f t="shared" si="35"/>
        <v>14029.662294347019</v>
      </c>
      <c r="N49" s="84"/>
      <c r="O49" s="72">
        <v>32</v>
      </c>
      <c r="P49" s="47" t="str">
        <f>IF(S48&gt;0.005,"August","")</f>
        <v/>
      </c>
      <c r="Q49" s="80">
        <f t="shared" si="49"/>
        <v>0</v>
      </c>
      <c r="R49" s="80">
        <f t="shared" si="41"/>
        <v>0</v>
      </c>
      <c r="S49" s="80">
        <f t="shared" si="42"/>
        <v>0</v>
      </c>
      <c r="T49" s="47"/>
      <c r="U49" s="84"/>
      <c r="V49" s="72">
        <v>32</v>
      </c>
      <c r="W49" s="47" t="e">
        <f>IF(Z48&gt;0.005,"August","")</f>
        <v>#NAME?</v>
      </c>
      <c r="X49" s="80" t="e">
        <f t="shared" si="43"/>
        <v>#NAME?</v>
      </c>
      <c r="Y49" s="80"/>
      <c r="Z49" s="80" t="e">
        <f t="shared" si="44"/>
        <v>#NAME?</v>
      </c>
      <c r="AA49" s="47"/>
      <c r="AB49" s="84"/>
      <c r="AC49" s="83"/>
      <c r="AD49" s="47" t="str">
        <f>IF(AG48&gt;0.005,"August","")</f>
        <v/>
      </c>
      <c r="AE49" s="80">
        <f t="shared" si="45"/>
        <v>0</v>
      </c>
      <c r="AF49" s="80">
        <f t="shared" si="46"/>
        <v>0</v>
      </c>
      <c r="AG49" s="80">
        <f t="shared" si="47"/>
        <v>0</v>
      </c>
      <c r="AH49" s="47"/>
    </row>
    <row r="50" spans="2:63" x14ac:dyDescent="0.25">
      <c r="B50" s="72">
        <v>33</v>
      </c>
      <c r="C50" s="47" t="str">
        <f>IF(F49&gt;0.005,"September","")</f>
        <v>September</v>
      </c>
      <c r="D50" s="80">
        <f t="shared" si="48"/>
        <v>16612.310000000001</v>
      </c>
      <c r="E50" s="80">
        <f t="shared" si="36"/>
        <v>8030.8069262268691</v>
      </c>
      <c r="F50" s="80">
        <f t="shared" si="37"/>
        <v>4854107.6183607401</v>
      </c>
      <c r="G50" s="47"/>
      <c r="I50" s="81">
        <f t="shared" si="38"/>
        <v>15634.538633348107</v>
      </c>
      <c r="J50" s="82">
        <f t="shared" si="39"/>
        <v>4.1000000000000002E-2</v>
      </c>
      <c r="K50" s="81"/>
      <c r="L50" s="81">
        <f t="shared" si="40"/>
        <v>4560484.3335865773</v>
      </c>
      <c r="M50" s="83">
        <f t="shared" si="35"/>
        <v>14024.726864103483</v>
      </c>
      <c r="N50" s="84"/>
      <c r="O50" s="72">
        <v>33</v>
      </c>
      <c r="P50" s="47" t="str">
        <f>IF(S49&gt;0.005,"September","")</f>
        <v/>
      </c>
      <c r="Q50" s="80">
        <f t="shared" si="49"/>
        <v>0</v>
      </c>
      <c r="R50" s="80">
        <f t="shared" si="41"/>
        <v>0</v>
      </c>
      <c r="S50" s="80">
        <f t="shared" si="42"/>
        <v>0</v>
      </c>
      <c r="T50" s="47"/>
      <c r="U50" s="84"/>
      <c r="V50" s="72">
        <v>33</v>
      </c>
      <c r="W50" s="47" t="e">
        <f>IF(Z49&gt;0.005,"September","")</f>
        <v>#NAME?</v>
      </c>
      <c r="X50" s="80" t="e">
        <f t="shared" si="43"/>
        <v>#NAME?</v>
      </c>
      <c r="Y50" s="80"/>
      <c r="Z50" s="80" t="e">
        <f t="shared" si="44"/>
        <v>#NAME?</v>
      </c>
      <c r="AA50" s="47"/>
      <c r="AB50" s="84"/>
      <c r="AC50" s="83"/>
      <c r="AD50" s="47" t="str">
        <f>IF(AG49&gt;0.005,"September","")</f>
        <v/>
      </c>
      <c r="AE50" s="80">
        <f t="shared" si="45"/>
        <v>0</v>
      </c>
      <c r="AF50" s="80">
        <f t="shared" si="46"/>
        <v>0</v>
      </c>
      <c r="AG50" s="80">
        <f t="shared" si="47"/>
        <v>0</v>
      </c>
      <c r="AH50" s="47"/>
    </row>
    <row r="51" spans="2:63" x14ac:dyDescent="0.25">
      <c r="B51" s="72">
        <v>34</v>
      </c>
      <c r="C51" s="47" t="str">
        <f>IF(F50&gt;0.005,"October","")</f>
        <v>October</v>
      </c>
      <c r="D51" s="80">
        <f t="shared" si="48"/>
        <v>16584.87</v>
      </c>
      <c r="E51" s="80">
        <f t="shared" si="36"/>
        <v>8058.2469262268714</v>
      </c>
      <c r="F51" s="80">
        <f t="shared" si="37"/>
        <v>4846049.3714345135</v>
      </c>
      <c r="G51" s="47"/>
      <c r="I51" s="81">
        <f t="shared" si="38"/>
        <v>15581.654806420805</v>
      </c>
      <c r="J51" s="82">
        <f t="shared" si="39"/>
        <v>4.1000000000000002E-2</v>
      </c>
      <c r="K51" s="81"/>
      <c r="L51" s="81">
        <f t="shared" si="40"/>
        <v>4545058.4953282205</v>
      </c>
      <c r="M51" s="83">
        <f t="shared" si="35"/>
        <v>14019.924283039261</v>
      </c>
      <c r="N51" s="84"/>
      <c r="O51" s="72">
        <v>34</v>
      </c>
      <c r="P51" s="47" t="str">
        <f>IF(S50&gt;0.005,"October","")</f>
        <v/>
      </c>
      <c r="Q51" s="80">
        <f t="shared" si="49"/>
        <v>0</v>
      </c>
      <c r="R51" s="80">
        <f t="shared" si="41"/>
        <v>0</v>
      </c>
      <c r="S51" s="80">
        <f t="shared" si="42"/>
        <v>0</v>
      </c>
      <c r="T51" s="47"/>
      <c r="U51" s="84"/>
      <c r="V51" s="72">
        <v>34</v>
      </c>
      <c r="W51" s="47" t="e">
        <f>IF(Z50&gt;0.005,"October","")</f>
        <v>#NAME?</v>
      </c>
      <c r="X51" s="80" t="e">
        <f t="shared" si="43"/>
        <v>#NAME?</v>
      </c>
      <c r="Y51" s="80"/>
      <c r="Z51" s="80" t="e">
        <f t="shared" si="44"/>
        <v>#NAME?</v>
      </c>
      <c r="AA51" s="47"/>
      <c r="AB51" s="84"/>
      <c r="AC51" s="83"/>
      <c r="AD51" s="47" t="str">
        <f>IF(AG50&gt;0.005,"October","")</f>
        <v/>
      </c>
      <c r="AE51" s="80">
        <f t="shared" si="45"/>
        <v>0</v>
      </c>
      <c r="AF51" s="80">
        <f t="shared" si="46"/>
        <v>0</v>
      </c>
      <c r="AG51" s="80">
        <f t="shared" si="47"/>
        <v>0</v>
      </c>
      <c r="AH51" s="47"/>
    </row>
    <row r="52" spans="2:63" x14ac:dyDescent="0.25">
      <c r="B52" s="72">
        <v>35</v>
      </c>
      <c r="C52" s="47" t="str">
        <f>IF(F51&gt;0.005,"November","")</f>
        <v>November</v>
      </c>
      <c r="D52" s="80">
        <f t="shared" si="48"/>
        <v>16557.34</v>
      </c>
      <c r="E52" s="80">
        <f t="shared" si="36"/>
        <v>8085.7769262268703</v>
      </c>
      <c r="F52" s="80">
        <f t="shared" si="37"/>
        <v>4837963.5945082866</v>
      </c>
      <c r="G52" s="47"/>
      <c r="I52" s="81">
        <f t="shared" si="38"/>
        <v>15528.949859038088</v>
      </c>
      <c r="J52" s="82">
        <f t="shared" si="39"/>
        <v>4.1000000000000002E-2</v>
      </c>
      <c r="K52" s="81"/>
      <c r="L52" s="81">
        <f t="shared" si="40"/>
        <v>4529684.8349677725</v>
      </c>
      <c r="M52" s="83">
        <f t="shared" si="35"/>
        <v>14015.255221205276</v>
      </c>
      <c r="N52" s="84"/>
      <c r="O52" s="72">
        <v>35</v>
      </c>
      <c r="P52" s="47" t="str">
        <f>IF(S51&gt;0.005,"November","")</f>
        <v/>
      </c>
      <c r="Q52" s="80">
        <f t="shared" si="49"/>
        <v>0</v>
      </c>
      <c r="R52" s="80">
        <f t="shared" si="41"/>
        <v>0</v>
      </c>
      <c r="S52" s="80">
        <f t="shared" si="42"/>
        <v>0</v>
      </c>
      <c r="T52" s="47"/>
      <c r="U52" s="84"/>
      <c r="V52" s="72">
        <v>35</v>
      </c>
      <c r="W52" s="47" t="e">
        <f>IF(Z51&gt;0.005,"November","")</f>
        <v>#NAME?</v>
      </c>
      <c r="X52" s="80" t="e">
        <f t="shared" si="43"/>
        <v>#NAME?</v>
      </c>
      <c r="Y52" s="80"/>
      <c r="Z52" s="80" t="e">
        <f t="shared" si="44"/>
        <v>#NAME?</v>
      </c>
      <c r="AA52" s="47"/>
      <c r="AB52" s="84"/>
      <c r="AC52" s="83"/>
      <c r="AD52" s="47" t="str">
        <f>IF(AG51&gt;0.005,"November","")</f>
        <v/>
      </c>
      <c r="AE52" s="80">
        <f t="shared" si="45"/>
        <v>0</v>
      </c>
      <c r="AF52" s="80">
        <f t="shared" si="46"/>
        <v>0</v>
      </c>
      <c r="AG52" s="80">
        <f t="shared" si="47"/>
        <v>0</v>
      </c>
      <c r="AH52" s="47"/>
    </row>
    <row r="53" spans="2:63" x14ac:dyDescent="0.25">
      <c r="B53" s="72">
        <v>36</v>
      </c>
      <c r="C53" s="47" t="str">
        <f>IF(F52&gt;0.005,"December","")</f>
        <v>December</v>
      </c>
      <c r="D53" s="80">
        <f>IF(F52&gt;0,ROUND(F52*($F$6/12),2),0)</f>
        <v>16529.71</v>
      </c>
      <c r="E53" s="80">
        <f t="shared" si="36"/>
        <v>8113.4069262268713</v>
      </c>
      <c r="F53" s="80">
        <f t="shared" si="37"/>
        <v>4829850.1875820598</v>
      </c>
      <c r="G53" s="47"/>
      <c r="I53" s="81">
        <f t="shared" si="38"/>
        <v>15476.423186139889</v>
      </c>
      <c r="J53" s="82">
        <f t="shared" si="39"/>
        <v>4.1000000000000002E-2</v>
      </c>
      <c r="K53" s="81"/>
      <c r="L53" s="81">
        <f t="shared" si="40"/>
        <v>4514363.1760134939</v>
      </c>
      <c r="M53" s="83">
        <f t="shared" si="35"/>
        <v>14010.720358821416</v>
      </c>
      <c r="N53" s="84"/>
      <c r="O53" s="72">
        <v>36</v>
      </c>
      <c r="P53" s="47" t="str">
        <f>IF(S52&gt;0.005,"December","")</f>
        <v/>
      </c>
      <c r="Q53" s="80">
        <f t="shared" si="49"/>
        <v>0</v>
      </c>
      <c r="R53" s="80">
        <f t="shared" si="41"/>
        <v>0</v>
      </c>
      <c r="S53" s="80">
        <f t="shared" si="42"/>
        <v>0</v>
      </c>
      <c r="T53" s="47"/>
      <c r="U53" s="84"/>
      <c r="V53" s="72">
        <v>36</v>
      </c>
      <c r="W53" s="47" t="e">
        <f>IF(Z52&gt;0.005,"December","")</f>
        <v>#NAME?</v>
      </c>
      <c r="X53" s="80" t="e">
        <f t="shared" si="43"/>
        <v>#NAME?</v>
      </c>
      <c r="Y53" s="80"/>
      <c r="Z53" s="80" t="e">
        <f t="shared" si="44"/>
        <v>#NAME?</v>
      </c>
      <c r="AA53" s="47"/>
      <c r="AB53" s="84"/>
      <c r="AC53" s="83"/>
      <c r="AD53" s="47" t="str">
        <f>IF(AG52&gt;0.005,"December","")</f>
        <v/>
      </c>
      <c r="AE53" s="80">
        <f t="shared" si="45"/>
        <v>0</v>
      </c>
      <c r="AF53" s="80">
        <f t="shared" si="46"/>
        <v>0</v>
      </c>
      <c r="AG53" s="80">
        <f t="shared" si="47"/>
        <v>0</v>
      </c>
      <c r="AH53" s="47"/>
    </row>
    <row r="54" spans="2:63" x14ac:dyDescent="0.25">
      <c r="B54" s="46"/>
      <c r="C54" s="85" t="str">
        <f>"Total "&amp;YEAR($C$9)+2</f>
        <v>Total 2021</v>
      </c>
      <c r="D54" s="86">
        <f>SUM(D42:D53)</f>
        <v>200159.31999999998</v>
      </c>
      <c r="E54" s="86">
        <f>SUM(E42:E53)</f>
        <v>95558.083114722453</v>
      </c>
      <c r="F54" s="87"/>
      <c r="G54" s="47"/>
      <c r="I54" s="86">
        <f>SUM(I42:I53)</f>
        <v>189223.36016916379</v>
      </c>
      <c r="J54" s="46"/>
      <c r="K54" s="86">
        <f>SUM(K42:K53)</f>
        <v>0</v>
      </c>
      <c r="L54" s="46"/>
      <c r="M54" s="46"/>
      <c r="O54" s="46"/>
      <c r="P54" s="85" t="str">
        <f>"Total "&amp;YEAR($C$9)+2</f>
        <v>Total 2021</v>
      </c>
      <c r="Q54" s="86">
        <f>SUM(Q42:Q53)</f>
        <v>0</v>
      </c>
      <c r="R54" s="86">
        <f>SUM(R42:R53)</f>
        <v>0</v>
      </c>
      <c r="S54" s="87"/>
      <c r="T54" s="47"/>
      <c r="V54" s="46"/>
      <c r="W54" s="85" t="str">
        <f>"Total "&amp;YEAR($C$9)+2</f>
        <v>Total 2021</v>
      </c>
      <c r="X54" s="86" t="e">
        <f>SUM(X42:X53)</f>
        <v>#NAME?</v>
      </c>
      <c r="Y54" s="86">
        <f>SUM(Y42:Y53)</f>
        <v>0</v>
      </c>
      <c r="Z54" s="87"/>
      <c r="AA54" s="47"/>
      <c r="AC54" s="46"/>
      <c r="AD54" s="85" t="str">
        <f>"Total "&amp;YEAR($C$9)+2</f>
        <v>Total 2021</v>
      </c>
      <c r="AE54" s="86">
        <f>SUM(AE42:AE53)</f>
        <v>0</v>
      </c>
      <c r="AF54" s="86">
        <f>SUM(AF42:AF53)</f>
        <v>0</v>
      </c>
      <c r="AG54" s="87"/>
      <c r="AH54" s="47"/>
      <c r="BD54" s="65"/>
      <c r="BE54" s="65"/>
      <c r="BF54" s="65"/>
      <c r="BG54" s="65"/>
      <c r="BH54" s="65"/>
      <c r="BI54" s="65"/>
      <c r="BJ54" s="65"/>
      <c r="BK54" s="65"/>
    </row>
    <row r="55" spans="2:63" x14ac:dyDescent="0.25">
      <c r="B55" s="46"/>
      <c r="C55" s="47"/>
      <c r="D55" s="80"/>
      <c r="E55" s="80"/>
      <c r="F55" s="80"/>
      <c r="G55" s="47"/>
      <c r="I55" s="46"/>
      <c r="J55" s="46"/>
      <c r="K55" s="46"/>
      <c r="L55" s="46"/>
      <c r="M55" s="46"/>
      <c r="O55" s="46"/>
      <c r="P55" s="47"/>
      <c r="Q55" s="80"/>
      <c r="R55" s="80"/>
      <c r="S55" s="80"/>
      <c r="T55" s="47"/>
      <c r="V55" s="46"/>
      <c r="W55" s="47"/>
      <c r="X55" s="80"/>
      <c r="Y55" s="80"/>
      <c r="Z55" s="80"/>
      <c r="AA55" s="47"/>
      <c r="AC55" s="46"/>
      <c r="AD55" s="47"/>
      <c r="AE55" s="80"/>
      <c r="AF55" s="80"/>
      <c r="AG55" s="80"/>
      <c r="AH55" s="47"/>
    </row>
    <row r="56" spans="2:63" x14ac:dyDescent="0.25">
      <c r="B56" s="46"/>
      <c r="C56" s="47"/>
      <c r="D56" s="75" t="s">
        <v>62</v>
      </c>
      <c r="E56" s="75" t="s">
        <v>63</v>
      </c>
      <c r="F56" s="75" t="s">
        <v>64</v>
      </c>
      <c r="G56" s="47"/>
      <c r="I56" s="46"/>
      <c r="J56" s="46"/>
      <c r="K56" s="46"/>
      <c r="L56" s="46"/>
      <c r="M56" s="46"/>
      <c r="O56" s="46"/>
      <c r="P56" s="47"/>
      <c r="Q56" s="75" t="s">
        <v>62</v>
      </c>
      <c r="R56" s="75" t="s">
        <v>63</v>
      </c>
      <c r="S56" s="75" t="s">
        <v>64</v>
      </c>
      <c r="T56" s="47"/>
      <c r="V56" s="46"/>
      <c r="W56" s="47"/>
      <c r="X56" s="75" t="s">
        <v>62</v>
      </c>
      <c r="Y56" s="75" t="s">
        <v>63</v>
      </c>
      <c r="Z56" s="75" t="s">
        <v>64</v>
      </c>
      <c r="AA56" s="47"/>
      <c r="AC56" s="46"/>
      <c r="AD56" s="47"/>
      <c r="AE56" s="75" t="s">
        <v>62</v>
      </c>
      <c r="AF56" s="75" t="s">
        <v>63</v>
      </c>
      <c r="AG56" s="75" t="s">
        <v>64</v>
      </c>
      <c r="AH56" s="47"/>
    </row>
    <row r="57" spans="2:63" x14ac:dyDescent="0.25">
      <c r="B57" s="72">
        <v>37</v>
      </c>
      <c r="C57" s="47" t="str">
        <f>IF(F53&gt;0.005,"January","")</f>
        <v>January</v>
      </c>
      <c r="D57" s="80">
        <f>IF(F53&gt;0,ROUND(F53*($F$6/12),2),0)</f>
        <v>16501.990000000002</v>
      </c>
      <c r="E57" s="80">
        <f>IF(F53&lt;$D$8,F53,$D$8-D57)</f>
        <v>8141.1269262268688</v>
      </c>
      <c r="F57" s="80">
        <f>IF(F53-E57&gt;0,F53-E57,0)</f>
        <v>4821709.0606558332</v>
      </c>
      <c r="G57" s="47"/>
      <c r="I57" s="81">
        <f>L53*J57/12</f>
        <v>15424.074184712772</v>
      </c>
      <c r="J57" s="82">
        <f>$F$6</f>
        <v>4.1000000000000002E-2</v>
      </c>
      <c r="K57" s="81"/>
      <c r="L57" s="81">
        <f>MAX(L53+L53*($F$6/100)/12-I57-K57,0)</f>
        <v>4499093.342570628</v>
      </c>
      <c r="M57" s="83">
        <f t="shared" ref="M57:M68" si="50">-PMT(($F$6/100)/12,$D$7-B57,L57,0,0)</f>
        <v>14006.320386427533</v>
      </c>
      <c r="N57" s="84"/>
      <c r="O57" s="72">
        <v>37</v>
      </c>
      <c r="P57" s="47" t="str">
        <f>IF(S53&gt;0.005,"January","")</f>
        <v/>
      </c>
      <c r="Q57" s="80">
        <f>IF(O57&lt;$S$7,"",IF(O57=$S$7,$Q$6*($S$6/12),S53*($S$6/12)))</f>
        <v>0</v>
      </c>
      <c r="R57" s="80">
        <f>IF(O57&lt;$S$7,"",$Q$8-Q57)</f>
        <v>0</v>
      </c>
      <c r="S57" s="80">
        <f>IF(O57&lt;$S$7,"",IF(O57=$S$7,$Q$6-R57,S53-R57))</f>
        <v>0</v>
      </c>
      <c r="T57" s="47"/>
      <c r="U57" s="84"/>
      <c r="V57" s="72">
        <v>37</v>
      </c>
      <c r="W57" s="47" t="e">
        <f>IF(Z53&gt;0.005,"January","")</f>
        <v>#NAME?</v>
      </c>
      <c r="X57" s="80" t="e">
        <f>IF(V57&lt;$Z$7,"",($Z$6/12)*$X$6)</f>
        <v>#NAME?</v>
      </c>
      <c r="Y57" s="80"/>
      <c r="Z57" s="80" t="e">
        <f>IF(V57&lt;$S$7,"",$X$6)</f>
        <v>#NAME?</v>
      </c>
      <c r="AA57" s="47"/>
      <c r="AB57" s="84"/>
      <c r="AC57" s="83"/>
      <c r="AD57" s="47" t="str">
        <f>IF(AG53&gt;0.005,"January","")</f>
        <v/>
      </c>
      <c r="AE57" s="80">
        <f>IF(AG53&gt;0,ROUND(AG53*($AG$6/1200),2),0)</f>
        <v>0</v>
      </c>
      <c r="AF57" s="80">
        <f>IF(AG53&lt;$AE$8,AG53,$AE$8-AE57)</f>
        <v>0</v>
      </c>
      <c r="AG57" s="80">
        <f>IF(AG53-AF57&gt;0,AG53-AF57,0)</f>
        <v>0</v>
      </c>
      <c r="AH57" s="47"/>
    </row>
    <row r="58" spans="2:63" x14ac:dyDescent="0.25">
      <c r="B58" s="72">
        <v>38</v>
      </c>
      <c r="C58" s="47" t="str">
        <f>IF(F57&gt;0.005,"February","")</f>
        <v>February</v>
      </c>
      <c r="D58" s="80">
        <f>IF(F57&gt;0,ROUND(F57*($F$6/12),2),0)</f>
        <v>16474.169999999998</v>
      </c>
      <c r="E58" s="80">
        <f t="shared" ref="E58:E68" si="51">IF(F57&lt;$D$8,F57,$D$8-D58)</f>
        <v>8168.9469262268722</v>
      </c>
      <c r="F58" s="80">
        <f t="shared" ref="F58:F68" si="52">IF(F57-E58&gt;0,F57-E58,0)</f>
        <v>4813540.1137296064</v>
      </c>
      <c r="G58" s="47"/>
      <c r="I58" s="81">
        <f t="shared" ref="I58:I68" si="53">L57*J58/12</f>
        <v>15371.902253782981</v>
      </c>
      <c r="J58" s="82">
        <f t="shared" ref="J58:J68" si="54">$F$6</f>
        <v>4.1000000000000002E-2</v>
      </c>
      <c r="K58" s="81"/>
      <c r="L58" s="81">
        <f t="shared" ref="L58:L68" si="55">MAX(L57+L57*($F$6/100)/12-I58-K58,0)</f>
        <v>4483875.1593393823</v>
      </c>
      <c r="M58" s="83">
        <f t="shared" si="50"/>
        <v>14002.056005037171</v>
      </c>
      <c r="N58" s="84"/>
      <c r="O58" s="72">
        <v>38</v>
      </c>
      <c r="P58" s="47" t="str">
        <f>IF(S57&gt;0.005,"February","")</f>
        <v/>
      </c>
      <c r="Q58" s="80">
        <f>IF(O58&lt;$S$7,"",IF(O58=$S$7,$Q$6*($S$6/12),S57*($S$6/12)))</f>
        <v>0</v>
      </c>
      <c r="R58" s="80">
        <f t="shared" ref="R58:R68" si="56">IF(O58&lt;$S$7,"",$Q$8-Q58)</f>
        <v>0</v>
      </c>
      <c r="S58" s="80">
        <f t="shared" ref="S58:S68" si="57">IF(O58&lt;$S$7,"",IF(O58=$S$7,$Q$6-R58,S57-R58))</f>
        <v>0</v>
      </c>
      <c r="T58" s="47"/>
      <c r="U58" s="84"/>
      <c r="V58" s="72">
        <v>38</v>
      </c>
      <c r="W58" s="47" t="e">
        <f>IF(Z57&gt;0.005,"February","")</f>
        <v>#NAME?</v>
      </c>
      <c r="X58" s="80" t="e">
        <f t="shared" ref="X58:X68" si="58">IF(V58&lt;$Z$7,"",($Z$6/12)*$X$6)</f>
        <v>#NAME?</v>
      </c>
      <c r="Y58" s="80"/>
      <c r="Z58" s="80" t="e">
        <f t="shared" ref="Z58:Z68" si="59">IF(V58&lt;$S$7,"",$X$6)</f>
        <v>#NAME?</v>
      </c>
      <c r="AA58" s="47"/>
      <c r="AB58" s="84"/>
      <c r="AC58" s="83"/>
      <c r="AD58" s="47" t="str">
        <f>IF(AG57&gt;0.005,"February","")</f>
        <v/>
      </c>
      <c r="AE58" s="80">
        <f t="shared" ref="AE58:AE68" si="60">IF(AG57&gt;0,ROUND(AG57*($AG$6/1200),2),0)</f>
        <v>0</v>
      </c>
      <c r="AF58" s="80">
        <f t="shared" ref="AF58:AF68" si="61">IF(AG57&lt;$AE$8,AG57,$AE$8-AE58)</f>
        <v>0</v>
      </c>
      <c r="AG58" s="80">
        <f t="shared" ref="AG58:AG68" si="62">IF(AG57-AF58&gt;0,AG57-AF58,0)</f>
        <v>0</v>
      </c>
      <c r="AH58" s="47"/>
    </row>
    <row r="59" spans="2:63" x14ac:dyDescent="0.25">
      <c r="B59" s="72">
        <v>39</v>
      </c>
      <c r="C59" s="47" t="str">
        <f>IF(F58&gt;0.005,"March","")</f>
        <v>March</v>
      </c>
      <c r="D59" s="80">
        <f t="shared" ref="D59:D67" si="63">IF(F58&gt;0,ROUND(F58*($F$6/12),2),0)</f>
        <v>16446.259999999998</v>
      </c>
      <c r="E59" s="80">
        <f t="shared" si="51"/>
        <v>8196.856926226872</v>
      </c>
      <c r="F59" s="80">
        <f t="shared" si="52"/>
        <v>4805343.2568033794</v>
      </c>
      <c r="G59" s="47"/>
      <c r="I59" s="81">
        <f t="shared" si="53"/>
        <v>15319.906794409557</v>
      </c>
      <c r="J59" s="82">
        <f t="shared" si="54"/>
        <v>4.1000000000000002E-2</v>
      </c>
      <c r="K59" s="81"/>
      <c r="L59" s="81">
        <f t="shared" si="55"/>
        <v>4468708.4516129168</v>
      </c>
      <c r="M59" s="83">
        <f t="shared" si="50"/>
        <v>13997.927926294289</v>
      </c>
      <c r="N59" s="84"/>
      <c r="O59" s="72">
        <v>39</v>
      </c>
      <c r="P59" s="47" t="str">
        <f>IF(S58&gt;0.005,"March","")</f>
        <v/>
      </c>
      <c r="Q59" s="80">
        <f t="shared" ref="Q59:Q68" si="64">IF(O59&lt;$S$7,"",IF(O59=$S$7,$Q$6*($S$6/12),S58*($S$6/12)))</f>
        <v>0</v>
      </c>
      <c r="R59" s="80">
        <f t="shared" si="56"/>
        <v>0</v>
      </c>
      <c r="S59" s="80">
        <f t="shared" si="57"/>
        <v>0</v>
      </c>
      <c r="T59" s="47"/>
      <c r="U59" s="84"/>
      <c r="V59" s="72">
        <v>39</v>
      </c>
      <c r="W59" s="47" t="e">
        <f>IF(Z58&gt;0.005,"March","")</f>
        <v>#NAME?</v>
      </c>
      <c r="X59" s="80" t="e">
        <f t="shared" si="58"/>
        <v>#NAME?</v>
      </c>
      <c r="Y59" s="80"/>
      <c r="Z59" s="80" t="e">
        <f t="shared" si="59"/>
        <v>#NAME?</v>
      </c>
      <c r="AA59" s="47"/>
      <c r="AB59" s="84"/>
      <c r="AC59" s="83"/>
      <c r="AD59" s="47" t="str">
        <f>IF(AG58&gt;0.005,"March","")</f>
        <v/>
      </c>
      <c r="AE59" s="80">
        <f t="shared" si="60"/>
        <v>0</v>
      </c>
      <c r="AF59" s="80">
        <f t="shared" si="61"/>
        <v>0</v>
      </c>
      <c r="AG59" s="80">
        <f t="shared" si="62"/>
        <v>0</v>
      </c>
      <c r="AH59" s="47"/>
    </row>
    <row r="60" spans="2:63" x14ac:dyDescent="0.25">
      <c r="B60" s="72">
        <v>40</v>
      </c>
      <c r="C60" s="47" t="str">
        <f>IF(F59&gt;0.005,"April","")</f>
        <v>April</v>
      </c>
      <c r="D60" s="80">
        <f t="shared" si="63"/>
        <v>16418.259999999998</v>
      </c>
      <c r="E60" s="80">
        <f t="shared" si="51"/>
        <v>8224.856926226872</v>
      </c>
      <c r="F60" s="80">
        <f t="shared" si="52"/>
        <v>4797118.3998771524</v>
      </c>
      <c r="G60" s="47"/>
      <c r="I60" s="81">
        <f t="shared" si="53"/>
        <v>15268.087209677467</v>
      </c>
      <c r="J60" s="82">
        <f t="shared" si="54"/>
        <v>4.1000000000000002E-2</v>
      </c>
      <c r="K60" s="81"/>
      <c r="L60" s="81">
        <f t="shared" si="55"/>
        <v>4453593.0452753361</v>
      </c>
      <c r="M60" s="83">
        <f t="shared" si="50"/>
        <v>13993.936872632863</v>
      </c>
      <c r="N60" s="84"/>
      <c r="O60" s="72">
        <v>40</v>
      </c>
      <c r="P60" s="47" t="str">
        <f>IF(S59&gt;0.005,"April","")</f>
        <v/>
      </c>
      <c r="Q60" s="80">
        <f t="shared" si="64"/>
        <v>0</v>
      </c>
      <c r="R60" s="80">
        <f t="shared" si="56"/>
        <v>0</v>
      </c>
      <c r="S60" s="80">
        <f t="shared" si="57"/>
        <v>0</v>
      </c>
      <c r="T60" s="47"/>
      <c r="U60" s="84"/>
      <c r="V60" s="72">
        <v>40</v>
      </c>
      <c r="W60" s="47" t="e">
        <f>IF(Z59&gt;0.005,"April","")</f>
        <v>#NAME?</v>
      </c>
      <c r="X60" s="80" t="e">
        <f t="shared" si="58"/>
        <v>#NAME?</v>
      </c>
      <c r="Y60" s="80"/>
      <c r="Z60" s="80" t="e">
        <f t="shared" si="59"/>
        <v>#NAME?</v>
      </c>
      <c r="AA60" s="47"/>
      <c r="AB60" s="84"/>
      <c r="AC60" s="83"/>
      <c r="AD60" s="47" t="str">
        <f>IF(AG59&gt;0.005,"April","")</f>
        <v/>
      </c>
      <c r="AE60" s="80">
        <f t="shared" si="60"/>
        <v>0</v>
      </c>
      <c r="AF60" s="80">
        <f t="shared" si="61"/>
        <v>0</v>
      </c>
      <c r="AG60" s="80">
        <f t="shared" si="62"/>
        <v>0</v>
      </c>
      <c r="AH60" s="47"/>
    </row>
    <row r="61" spans="2:63" x14ac:dyDescent="0.25">
      <c r="B61" s="72">
        <v>41</v>
      </c>
      <c r="C61" s="47" t="str">
        <f>IF(F60&gt;0.005,"May","")</f>
        <v>May</v>
      </c>
      <c r="D61" s="80">
        <f t="shared" si="63"/>
        <v>16390.150000000001</v>
      </c>
      <c r="E61" s="80">
        <f t="shared" si="51"/>
        <v>8252.966926226869</v>
      </c>
      <c r="F61" s="80">
        <f t="shared" si="52"/>
        <v>4788865.4329509251</v>
      </c>
      <c r="G61" s="47"/>
      <c r="I61" s="81">
        <f t="shared" si="53"/>
        <v>15216.442904690732</v>
      </c>
      <c r="J61" s="82">
        <f t="shared" si="54"/>
        <v>4.1000000000000002E-2</v>
      </c>
      <c r="K61" s="81"/>
      <c r="L61" s="81">
        <f t="shared" si="55"/>
        <v>4438528.766799693</v>
      </c>
      <c r="M61" s="83">
        <f t="shared" si="50"/>
        <v>13990.083577439567</v>
      </c>
      <c r="N61" s="84"/>
      <c r="O61" s="72">
        <v>41</v>
      </c>
      <c r="P61" s="47" t="str">
        <f>IF(S60&gt;0.005,"May","")</f>
        <v/>
      </c>
      <c r="Q61" s="80">
        <f t="shared" si="64"/>
        <v>0</v>
      </c>
      <c r="R61" s="80">
        <f t="shared" si="56"/>
        <v>0</v>
      </c>
      <c r="S61" s="80">
        <f t="shared" si="57"/>
        <v>0</v>
      </c>
      <c r="T61" s="47"/>
      <c r="U61" s="84"/>
      <c r="V61" s="72">
        <v>41</v>
      </c>
      <c r="W61" s="47" t="e">
        <f>IF(Z60&gt;0.005,"May","")</f>
        <v>#NAME?</v>
      </c>
      <c r="X61" s="80" t="e">
        <f t="shared" si="58"/>
        <v>#NAME?</v>
      </c>
      <c r="Y61" s="80"/>
      <c r="Z61" s="80" t="e">
        <f t="shared" si="59"/>
        <v>#NAME?</v>
      </c>
      <c r="AA61" s="47"/>
      <c r="AB61" s="84"/>
      <c r="AC61" s="83"/>
      <c r="AD61" s="47" t="str">
        <f>IF(AG60&gt;0.005,"May","")</f>
        <v/>
      </c>
      <c r="AE61" s="80">
        <f t="shared" si="60"/>
        <v>0</v>
      </c>
      <c r="AF61" s="80">
        <f t="shared" si="61"/>
        <v>0</v>
      </c>
      <c r="AG61" s="80">
        <f t="shared" si="62"/>
        <v>0</v>
      </c>
      <c r="AH61" s="47"/>
    </row>
    <row r="62" spans="2:63" x14ac:dyDescent="0.25">
      <c r="B62" s="72">
        <v>42</v>
      </c>
      <c r="C62" s="47" t="str">
        <f>IF(F61&gt;0.005,"June","")</f>
        <v>June</v>
      </c>
      <c r="D62" s="80">
        <f t="shared" si="63"/>
        <v>16361.96</v>
      </c>
      <c r="E62" s="80">
        <f t="shared" si="51"/>
        <v>8281.1569262268713</v>
      </c>
      <c r="F62" s="80">
        <f t="shared" si="52"/>
        <v>4780584.2760246983</v>
      </c>
      <c r="G62" s="47"/>
      <c r="I62" s="81">
        <f t="shared" si="53"/>
        <v>15164.973286565619</v>
      </c>
      <c r="J62" s="82">
        <f t="shared" si="54"/>
        <v>4.1000000000000002E-2</v>
      </c>
      <c r="K62" s="81"/>
      <c r="L62" s="81">
        <f t="shared" si="55"/>
        <v>4423515.443245993</v>
      </c>
      <c r="M62" s="83">
        <f t="shared" si="50"/>
        <v>13986.368785219527</v>
      </c>
      <c r="N62" s="84"/>
      <c r="O62" s="72">
        <v>42</v>
      </c>
      <c r="P62" s="47" t="str">
        <f>IF(S61&gt;0.005,"June","")</f>
        <v/>
      </c>
      <c r="Q62" s="80">
        <f t="shared" si="64"/>
        <v>0</v>
      </c>
      <c r="R62" s="80">
        <f t="shared" si="56"/>
        <v>0</v>
      </c>
      <c r="S62" s="80">
        <f t="shared" si="57"/>
        <v>0</v>
      </c>
      <c r="T62" s="47"/>
      <c r="U62" s="84"/>
      <c r="V62" s="72">
        <v>42</v>
      </c>
      <c r="W62" s="47" t="e">
        <f>IF(Z61&gt;0.005,"June","")</f>
        <v>#NAME?</v>
      </c>
      <c r="X62" s="80" t="e">
        <f t="shared" si="58"/>
        <v>#NAME?</v>
      </c>
      <c r="Y62" s="80"/>
      <c r="Z62" s="80" t="e">
        <f t="shared" si="59"/>
        <v>#NAME?</v>
      </c>
      <c r="AA62" s="47"/>
      <c r="AB62" s="84"/>
      <c r="AC62" s="83"/>
      <c r="AD62" s="47" t="str">
        <f>IF(AG61&gt;0.005,"June","")</f>
        <v/>
      </c>
      <c r="AE62" s="80">
        <f t="shared" si="60"/>
        <v>0</v>
      </c>
      <c r="AF62" s="80">
        <f t="shared" si="61"/>
        <v>0</v>
      </c>
      <c r="AG62" s="80">
        <f t="shared" si="62"/>
        <v>0</v>
      </c>
      <c r="AH62" s="47"/>
    </row>
    <row r="63" spans="2:63" x14ac:dyDescent="0.25">
      <c r="B63" s="72">
        <v>43</v>
      </c>
      <c r="C63" s="47" t="str">
        <f>IF(F62&gt;0.005,"July","")</f>
        <v>July</v>
      </c>
      <c r="D63" s="80">
        <f t="shared" si="63"/>
        <v>16333.66</v>
      </c>
      <c r="E63" s="80">
        <f t="shared" si="51"/>
        <v>8309.4569262268706</v>
      </c>
      <c r="F63" s="80">
        <f t="shared" si="52"/>
        <v>4772274.8190984717</v>
      </c>
      <c r="G63" s="47"/>
      <c r="I63" s="81">
        <f t="shared" si="53"/>
        <v>15113.67776442381</v>
      </c>
      <c r="J63" s="82">
        <f t="shared" si="54"/>
        <v>4.1000000000000002E-2</v>
      </c>
      <c r="K63" s="81"/>
      <c r="L63" s="81">
        <f t="shared" si="55"/>
        <v>4408552.9022592129</v>
      </c>
      <c r="M63" s="83">
        <f t="shared" si="50"/>
        <v>13982.79325176523</v>
      </c>
      <c r="N63" s="84"/>
      <c r="O63" s="72">
        <v>43</v>
      </c>
      <c r="P63" s="47" t="str">
        <f>IF(S62&gt;0.005,"July","")</f>
        <v/>
      </c>
      <c r="Q63" s="80">
        <f t="shared" si="64"/>
        <v>0</v>
      </c>
      <c r="R63" s="80">
        <f t="shared" si="56"/>
        <v>0</v>
      </c>
      <c r="S63" s="80">
        <f t="shared" si="57"/>
        <v>0</v>
      </c>
      <c r="T63" s="47"/>
      <c r="U63" s="84"/>
      <c r="V63" s="72">
        <v>43</v>
      </c>
      <c r="W63" s="47" t="e">
        <f>IF(Z62&gt;0.005,"July","")</f>
        <v>#NAME?</v>
      </c>
      <c r="X63" s="80" t="e">
        <f t="shared" si="58"/>
        <v>#NAME?</v>
      </c>
      <c r="Y63" s="80"/>
      <c r="Z63" s="80" t="e">
        <f t="shared" si="59"/>
        <v>#NAME?</v>
      </c>
      <c r="AA63" s="47"/>
      <c r="AB63" s="84"/>
      <c r="AC63" s="83"/>
      <c r="AD63" s="47" t="str">
        <f>IF(AG62&gt;0.005,"July","")</f>
        <v/>
      </c>
      <c r="AE63" s="80">
        <f t="shared" si="60"/>
        <v>0</v>
      </c>
      <c r="AF63" s="80">
        <f t="shared" si="61"/>
        <v>0</v>
      </c>
      <c r="AG63" s="80">
        <f t="shared" si="62"/>
        <v>0</v>
      </c>
      <c r="AH63" s="47"/>
    </row>
    <row r="64" spans="2:63" x14ac:dyDescent="0.25">
      <c r="B64" s="72">
        <v>44</v>
      </c>
      <c r="C64" s="47" t="str">
        <f>IF(F63&gt;0.005,"August","")</f>
        <v>August</v>
      </c>
      <c r="D64" s="80">
        <f t="shared" si="63"/>
        <v>16305.27</v>
      </c>
      <c r="E64" s="80">
        <f t="shared" si="51"/>
        <v>8337.84692622687</v>
      </c>
      <c r="F64" s="80">
        <f t="shared" si="52"/>
        <v>4763936.9721722445</v>
      </c>
      <c r="G64" s="47"/>
      <c r="I64" s="81">
        <f t="shared" si="53"/>
        <v>15062.555749385645</v>
      </c>
      <c r="J64" s="82">
        <f t="shared" si="54"/>
        <v>4.1000000000000002E-2</v>
      </c>
      <c r="K64" s="81"/>
      <c r="L64" s="81">
        <f t="shared" si="55"/>
        <v>4393640.9720673207</v>
      </c>
      <c r="M64" s="83">
        <f t="shared" si="50"/>
        <v>13979.357744328658</v>
      </c>
      <c r="N64" s="84"/>
      <c r="O64" s="72">
        <v>44</v>
      </c>
      <c r="P64" s="47" t="str">
        <f>IF(S63&gt;0.005,"August","")</f>
        <v/>
      </c>
      <c r="Q64" s="80">
        <f t="shared" si="64"/>
        <v>0</v>
      </c>
      <c r="R64" s="80">
        <f t="shared" si="56"/>
        <v>0</v>
      </c>
      <c r="S64" s="80">
        <f t="shared" si="57"/>
        <v>0</v>
      </c>
      <c r="T64" s="47"/>
      <c r="U64" s="84"/>
      <c r="V64" s="72">
        <v>44</v>
      </c>
      <c r="W64" s="47" t="e">
        <f>IF(Z63&gt;0.005,"August","")</f>
        <v>#NAME?</v>
      </c>
      <c r="X64" s="80" t="e">
        <f t="shared" si="58"/>
        <v>#NAME?</v>
      </c>
      <c r="Y64" s="80"/>
      <c r="Z64" s="80" t="e">
        <f t="shared" si="59"/>
        <v>#NAME?</v>
      </c>
      <c r="AA64" s="47"/>
      <c r="AB64" s="84"/>
      <c r="AC64" s="83"/>
      <c r="AD64" s="47" t="str">
        <f>IF(AG63&gt;0.005,"August","")</f>
        <v/>
      </c>
      <c r="AE64" s="80">
        <f t="shared" si="60"/>
        <v>0</v>
      </c>
      <c r="AF64" s="80">
        <f t="shared" si="61"/>
        <v>0</v>
      </c>
      <c r="AG64" s="80">
        <f t="shared" si="62"/>
        <v>0</v>
      </c>
      <c r="AH64" s="47"/>
    </row>
    <row r="65" spans="2:34" x14ac:dyDescent="0.25">
      <c r="B65" s="72">
        <v>45</v>
      </c>
      <c r="C65" s="47" t="str">
        <f>IF(F64&gt;0.005,"September","")</f>
        <v>September</v>
      </c>
      <c r="D65" s="80">
        <f t="shared" si="63"/>
        <v>16276.78</v>
      </c>
      <c r="E65" s="80">
        <f t="shared" si="51"/>
        <v>8366.3369262268698</v>
      </c>
      <c r="F65" s="80">
        <f t="shared" si="52"/>
        <v>4755570.6352460179</v>
      </c>
      <c r="G65" s="47"/>
      <c r="I65" s="81">
        <f t="shared" si="53"/>
        <v>15011.606654563346</v>
      </c>
      <c r="J65" s="82">
        <f t="shared" si="54"/>
        <v>4.1000000000000002E-2</v>
      </c>
      <c r="K65" s="81"/>
      <c r="L65" s="81">
        <f t="shared" si="55"/>
        <v>4378779.481479303</v>
      </c>
      <c r="M65" s="83">
        <f t="shared" si="50"/>
        <v>13976.063041796759</v>
      </c>
      <c r="N65" s="84"/>
      <c r="O65" s="72">
        <v>45</v>
      </c>
      <c r="P65" s="47" t="str">
        <f>IF(S64&gt;0.005,"September","")</f>
        <v/>
      </c>
      <c r="Q65" s="80">
        <f t="shared" si="64"/>
        <v>0</v>
      </c>
      <c r="R65" s="80">
        <f t="shared" si="56"/>
        <v>0</v>
      </c>
      <c r="S65" s="80">
        <f t="shared" si="57"/>
        <v>0</v>
      </c>
      <c r="T65" s="47"/>
      <c r="U65" s="84"/>
      <c r="V65" s="72">
        <v>45</v>
      </c>
      <c r="W65" s="47" t="e">
        <f>IF(Z64&gt;0.005,"September","")</f>
        <v>#NAME?</v>
      </c>
      <c r="X65" s="80" t="e">
        <f t="shared" si="58"/>
        <v>#NAME?</v>
      </c>
      <c r="Y65" s="80"/>
      <c r="Z65" s="80" t="e">
        <f t="shared" si="59"/>
        <v>#NAME?</v>
      </c>
      <c r="AA65" s="47"/>
      <c r="AB65" s="84"/>
      <c r="AC65" s="83"/>
      <c r="AD65" s="47" t="str">
        <f>IF(AG64&gt;0.005,"September","")</f>
        <v/>
      </c>
      <c r="AE65" s="80">
        <f t="shared" si="60"/>
        <v>0</v>
      </c>
      <c r="AF65" s="80">
        <f t="shared" si="61"/>
        <v>0</v>
      </c>
      <c r="AG65" s="80">
        <f t="shared" si="62"/>
        <v>0</v>
      </c>
      <c r="AH65" s="47"/>
    </row>
    <row r="66" spans="2:34" x14ac:dyDescent="0.25">
      <c r="B66" s="72">
        <v>46</v>
      </c>
      <c r="C66" s="47" t="str">
        <f>IF(F65&gt;0.005,"October","")</f>
        <v>October</v>
      </c>
      <c r="D66" s="80">
        <f t="shared" si="63"/>
        <v>16248.2</v>
      </c>
      <c r="E66" s="80">
        <f t="shared" si="51"/>
        <v>8394.9169262268697</v>
      </c>
      <c r="F66" s="80">
        <f t="shared" si="52"/>
        <v>4747175.7183197914</v>
      </c>
      <c r="G66" s="47"/>
      <c r="I66" s="81">
        <f t="shared" si="53"/>
        <v>14960.829895054287</v>
      </c>
      <c r="J66" s="82">
        <f t="shared" si="54"/>
        <v>4.1000000000000002E-2</v>
      </c>
      <c r="K66" s="81"/>
      <c r="L66" s="81">
        <f t="shared" si="55"/>
        <v>4363968.2598831998</v>
      </c>
      <c r="M66" s="83">
        <f t="shared" si="50"/>
        <v>13972.909934870228</v>
      </c>
      <c r="N66" s="84"/>
      <c r="O66" s="72">
        <v>46</v>
      </c>
      <c r="P66" s="47" t="str">
        <f>IF(S65&gt;0.005,"October","")</f>
        <v/>
      </c>
      <c r="Q66" s="80">
        <f t="shared" si="64"/>
        <v>0</v>
      </c>
      <c r="R66" s="80">
        <f t="shared" si="56"/>
        <v>0</v>
      </c>
      <c r="S66" s="80">
        <f t="shared" si="57"/>
        <v>0</v>
      </c>
      <c r="T66" s="47"/>
      <c r="U66" s="84"/>
      <c r="V66" s="72">
        <v>46</v>
      </c>
      <c r="W66" s="47" t="e">
        <f>IF(Z65&gt;0.005,"October","")</f>
        <v>#NAME?</v>
      </c>
      <c r="X66" s="80" t="e">
        <f t="shared" si="58"/>
        <v>#NAME?</v>
      </c>
      <c r="Y66" s="80"/>
      <c r="Z66" s="80" t="e">
        <f t="shared" si="59"/>
        <v>#NAME?</v>
      </c>
      <c r="AA66" s="47"/>
      <c r="AB66" s="84"/>
      <c r="AC66" s="83"/>
      <c r="AD66" s="47" t="str">
        <f>IF(AG65&gt;0.005,"October","")</f>
        <v/>
      </c>
      <c r="AE66" s="80">
        <f t="shared" si="60"/>
        <v>0</v>
      </c>
      <c r="AF66" s="80">
        <f t="shared" si="61"/>
        <v>0</v>
      </c>
      <c r="AG66" s="80">
        <f t="shared" si="62"/>
        <v>0</v>
      </c>
      <c r="AH66" s="47"/>
    </row>
    <row r="67" spans="2:34" x14ac:dyDescent="0.25">
      <c r="B67" s="72">
        <v>47</v>
      </c>
      <c r="C67" s="47" t="str">
        <f>IF(F66&gt;0.005,"November","")</f>
        <v>November</v>
      </c>
      <c r="D67" s="80">
        <f t="shared" si="63"/>
        <v>16219.52</v>
      </c>
      <c r="E67" s="80">
        <f t="shared" si="51"/>
        <v>8423.59692622687</v>
      </c>
      <c r="F67" s="80">
        <f t="shared" si="52"/>
        <v>4738752.1213935642</v>
      </c>
      <c r="G67" s="47"/>
      <c r="I67" s="81">
        <f t="shared" si="53"/>
        <v>14910.224887934266</v>
      </c>
      <c r="J67" s="82">
        <f t="shared" si="54"/>
        <v>4.1000000000000002E-2</v>
      </c>
      <c r="K67" s="81"/>
      <c r="L67" s="81">
        <f t="shared" si="55"/>
        <v>4349207.1372441445</v>
      </c>
      <c r="M67" s="83">
        <f t="shared" si="50"/>
        <v>13969.899226245789</v>
      </c>
      <c r="N67" s="84"/>
      <c r="O67" s="72">
        <v>47</v>
      </c>
      <c r="P67" s="47" t="str">
        <f>IF(S66&gt;0.005,"November","")</f>
        <v/>
      </c>
      <c r="Q67" s="80">
        <f t="shared" si="64"/>
        <v>0</v>
      </c>
      <c r="R67" s="80">
        <f t="shared" si="56"/>
        <v>0</v>
      </c>
      <c r="S67" s="80">
        <f t="shared" si="57"/>
        <v>0</v>
      </c>
      <c r="T67" s="47"/>
      <c r="U67" s="84"/>
      <c r="V67" s="72">
        <v>47</v>
      </c>
      <c r="W67" s="47" t="e">
        <f>IF(Z66&gt;0.005,"November","")</f>
        <v>#NAME?</v>
      </c>
      <c r="X67" s="80" t="e">
        <f t="shared" si="58"/>
        <v>#NAME?</v>
      </c>
      <c r="Y67" s="80"/>
      <c r="Z67" s="80" t="e">
        <f t="shared" si="59"/>
        <v>#NAME?</v>
      </c>
      <c r="AA67" s="47"/>
      <c r="AB67" s="84"/>
      <c r="AC67" s="83"/>
      <c r="AD67" s="47" t="str">
        <f>IF(AG66&gt;0.005,"November","")</f>
        <v/>
      </c>
      <c r="AE67" s="80">
        <f t="shared" si="60"/>
        <v>0</v>
      </c>
      <c r="AF67" s="80">
        <f t="shared" si="61"/>
        <v>0</v>
      </c>
      <c r="AG67" s="80">
        <f t="shared" si="62"/>
        <v>0</v>
      </c>
      <c r="AH67" s="47"/>
    </row>
    <row r="68" spans="2:34" x14ac:dyDescent="0.25">
      <c r="B68" s="72">
        <v>48</v>
      </c>
      <c r="C68" s="47" t="str">
        <f>IF(F67&gt;0.005,"December","")</f>
        <v>December</v>
      </c>
      <c r="D68" s="80">
        <f>IF(F67&gt;0,ROUND(F67*($F$6/12),2),0)</f>
        <v>16190.74</v>
      </c>
      <c r="E68" s="80">
        <f t="shared" si="51"/>
        <v>8452.3769262268706</v>
      </c>
      <c r="F68" s="80">
        <f t="shared" si="52"/>
        <v>4730299.7444673376</v>
      </c>
      <c r="G68" s="47"/>
      <c r="I68" s="81">
        <f t="shared" si="53"/>
        <v>14859.791052250826</v>
      </c>
      <c r="J68" s="82">
        <f t="shared" si="54"/>
        <v>4.1000000000000002E-2</v>
      </c>
      <c r="K68" s="81"/>
      <c r="L68" s="81">
        <f t="shared" si="55"/>
        <v>4334495.9441024158</v>
      </c>
      <c r="M68" s="83">
        <f t="shared" si="50"/>
        <v>13967.031730802008</v>
      </c>
      <c r="N68" s="84"/>
      <c r="O68" s="72">
        <v>48</v>
      </c>
      <c r="P68" s="47" t="str">
        <f>IF(S67&gt;0.005,"December","")</f>
        <v/>
      </c>
      <c r="Q68" s="80">
        <f t="shared" si="64"/>
        <v>0</v>
      </c>
      <c r="R68" s="80">
        <f t="shared" si="56"/>
        <v>0</v>
      </c>
      <c r="S68" s="80">
        <f t="shared" si="57"/>
        <v>0</v>
      </c>
      <c r="T68" s="47"/>
      <c r="U68" s="84"/>
      <c r="V68" s="72">
        <v>48</v>
      </c>
      <c r="W68" s="47" t="e">
        <f>IF(Z67&gt;0.005,"December","")</f>
        <v>#NAME?</v>
      </c>
      <c r="X68" s="80" t="e">
        <f t="shared" si="58"/>
        <v>#NAME?</v>
      </c>
      <c r="Y68" s="80"/>
      <c r="Z68" s="80" t="e">
        <f t="shared" si="59"/>
        <v>#NAME?</v>
      </c>
      <c r="AA68" s="47"/>
      <c r="AB68" s="84"/>
      <c r="AC68" s="83"/>
      <c r="AD68" s="47" t="str">
        <f>IF(AG67&gt;0.005,"December","")</f>
        <v/>
      </c>
      <c r="AE68" s="80">
        <f t="shared" si="60"/>
        <v>0</v>
      </c>
      <c r="AF68" s="80">
        <f t="shared" si="61"/>
        <v>0</v>
      </c>
      <c r="AG68" s="80">
        <f t="shared" si="62"/>
        <v>0</v>
      </c>
      <c r="AH68" s="47"/>
    </row>
    <row r="69" spans="2:34" x14ac:dyDescent="0.25">
      <c r="B69" s="46"/>
      <c r="C69" s="85" t="str">
        <f>"Total "&amp;YEAR($C$9)+3</f>
        <v>Total 2022</v>
      </c>
      <c r="D69" s="86">
        <f>SUM(D57:D68)</f>
        <v>196166.95999999996</v>
      </c>
      <c r="E69" s="86">
        <f>SUM(E57:E68)</f>
        <v>99550.443114722453</v>
      </c>
      <c r="F69" s="87"/>
      <c r="G69" s="47"/>
      <c r="I69" s="86">
        <f>SUM(I57:I68)</f>
        <v>181684.07263745129</v>
      </c>
      <c r="J69" s="46"/>
      <c r="K69" s="86">
        <f>SUM(K57:K68)</f>
        <v>0</v>
      </c>
      <c r="L69" s="46"/>
      <c r="M69" s="46"/>
      <c r="O69" s="46"/>
      <c r="P69" s="85" t="str">
        <f>"Total "&amp;YEAR($C$9)+3</f>
        <v>Total 2022</v>
      </c>
      <c r="Q69" s="86">
        <f>SUM(Q57:Q68)</f>
        <v>0</v>
      </c>
      <c r="R69" s="86">
        <f>SUM(R57:R68)</f>
        <v>0</v>
      </c>
      <c r="S69" s="87"/>
      <c r="T69" s="47"/>
      <c r="V69" s="46"/>
      <c r="W69" s="85" t="str">
        <f>"Total "&amp;YEAR($C$9)+3</f>
        <v>Total 2022</v>
      </c>
      <c r="X69" s="86" t="e">
        <f>SUM(X57:X68)</f>
        <v>#NAME?</v>
      </c>
      <c r="Y69" s="86">
        <f>SUM(Y57:Y68)</f>
        <v>0</v>
      </c>
      <c r="Z69" s="87"/>
      <c r="AA69" s="47"/>
      <c r="AC69" s="46"/>
      <c r="AD69" s="85" t="str">
        <f>"Total "&amp;YEAR($C$9)+3</f>
        <v>Total 2022</v>
      </c>
      <c r="AE69" s="86">
        <f>SUM(AE57:AE68)</f>
        <v>0</v>
      </c>
      <c r="AF69" s="86">
        <f>SUM(AF57:AF68)</f>
        <v>0</v>
      </c>
      <c r="AG69" s="87"/>
      <c r="AH69" s="47"/>
    </row>
    <row r="70" spans="2:34" x14ac:dyDescent="0.25">
      <c r="B70" s="46"/>
      <c r="C70" s="47"/>
      <c r="D70" s="80"/>
      <c r="E70" s="80"/>
      <c r="F70" s="80"/>
      <c r="G70" s="47"/>
      <c r="I70" s="46"/>
      <c r="J70" s="46"/>
      <c r="K70" s="46"/>
      <c r="L70" s="46"/>
      <c r="M70" s="46"/>
      <c r="O70" s="46"/>
      <c r="P70" s="47"/>
      <c r="Q70" s="80"/>
      <c r="R70" s="80"/>
      <c r="S70" s="80"/>
      <c r="T70" s="47"/>
      <c r="V70" s="46"/>
      <c r="W70" s="47"/>
      <c r="X70" s="80"/>
      <c r="Y70" s="80"/>
      <c r="Z70" s="80"/>
      <c r="AA70" s="47"/>
      <c r="AC70" s="46"/>
      <c r="AD70" s="47"/>
      <c r="AE70" s="80"/>
      <c r="AF70" s="80"/>
      <c r="AG70" s="80"/>
      <c r="AH70" s="47"/>
    </row>
    <row r="71" spans="2:34" x14ac:dyDescent="0.25">
      <c r="B71" s="46"/>
      <c r="C71" s="47"/>
      <c r="D71" s="75" t="s">
        <v>62</v>
      </c>
      <c r="E71" s="75" t="s">
        <v>63</v>
      </c>
      <c r="F71" s="75" t="s">
        <v>64</v>
      </c>
      <c r="G71" s="47"/>
      <c r="I71" s="46"/>
      <c r="J71" s="46"/>
      <c r="K71" s="46"/>
      <c r="L71" s="46"/>
      <c r="M71" s="46"/>
      <c r="O71" s="46"/>
      <c r="P71" s="47"/>
      <c r="Q71" s="75" t="s">
        <v>62</v>
      </c>
      <c r="R71" s="75" t="s">
        <v>63</v>
      </c>
      <c r="S71" s="75" t="s">
        <v>64</v>
      </c>
      <c r="T71" s="47"/>
      <c r="V71" s="46"/>
      <c r="W71" s="47"/>
      <c r="X71" s="75" t="s">
        <v>62</v>
      </c>
      <c r="Y71" s="75" t="s">
        <v>63</v>
      </c>
      <c r="Z71" s="75" t="s">
        <v>64</v>
      </c>
      <c r="AA71" s="47"/>
      <c r="AC71" s="46"/>
      <c r="AD71" s="47"/>
      <c r="AE71" s="75" t="s">
        <v>62</v>
      </c>
      <c r="AF71" s="75" t="s">
        <v>63</v>
      </c>
      <c r="AG71" s="75" t="s">
        <v>64</v>
      </c>
      <c r="AH71" s="47"/>
    </row>
    <row r="72" spans="2:34" x14ac:dyDescent="0.25">
      <c r="B72" s="72">
        <v>49</v>
      </c>
      <c r="C72" s="47" t="str">
        <f>IF(F68&gt;0.005,"January","")</f>
        <v>January</v>
      </c>
      <c r="D72" s="80">
        <f>IF(F68&gt;0,ROUND(F68*($F$6/12),2),0)</f>
        <v>16161.86</v>
      </c>
      <c r="E72" s="80">
        <f>IF(F68&lt;$D$8,F68,$D$8-D72)</f>
        <v>8481.2569262268698</v>
      </c>
      <c r="F72" s="80">
        <f>IF(F68-E72&gt;0,F68-E72,0)</f>
        <v>4721818.4875411112</v>
      </c>
      <c r="G72" s="47"/>
      <c r="I72" s="81">
        <f>L68*J72/12</f>
        <v>14809.527809016588</v>
      </c>
      <c r="J72" s="82">
        <f>$F$6</f>
        <v>4.1000000000000002E-2</v>
      </c>
      <c r="K72" s="81"/>
      <c r="L72" s="81">
        <f>MAX(L68+L68*($F$6/100)/12-I72-K72,0)</f>
        <v>4319834.5115714893</v>
      </c>
      <c r="M72" s="83">
        <f t="shared" ref="M72:M83" si="65">-PMT(($F$6/100)/12,$D$7-B72,L72,0,0)</f>
        <v>13964.30827578867</v>
      </c>
      <c r="N72" s="84"/>
      <c r="O72" s="72">
        <v>49</v>
      </c>
      <c r="P72" s="47" t="str">
        <f>IF(S68&gt;0.005,"January","")</f>
        <v/>
      </c>
      <c r="Q72" s="80">
        <f>IF(O72&lt;$S$7,"",IF(O72=$S$7,$Q$6*($S$6/12),S68*($S$6/12)))</f>
        <v>0</v>
      </c>
      <c r="R72" s="80">
        <f>IF(O72&lt;$S$7,"",$Q$8-Q72)</f>
        <v>0</v>
      </c>
      <c r="S72" s="80">
        <f>IF(O72&lt;$S$7,"",IF(O72=$S$7,$Q$6-R72,S68-R72))</f>
        <v>0</v>
      </c>
      <c r="T72" s="47"/>
      <c r="U72" s="84"/>
      <c r="V72" s="72">
        <v>49</v>
      </c>
      <c r="W72" s="47" t="e">
        <f>IF(Z68&gt;0.005,"January","")</f>
        <v>#NAME?</v>
      </c>
      <c r="X72" s="80" t="e">
        <f>IF(V72&lt;$Z$7,"",($Z$6/12)*$X$6)</f>
        <v>#NAME?</v>
      </c>
      <c r="Y72" s="80"/>
      <c r="Z72" s="80" t="e">
        <f>IF(V72&lt;$S$7,"",$X$6)</f>
        <v>#NAME?</v>
      </c>
      <c r="AA72" s="47"/>
      <c r="AB72" s="84"/>
      <c r="AC72" s="83"/>
      <c r="AD72" s="47" t="str">
        <f>IF(AG68&gt;0.005,"January","")</f>
        <v/>
      </c>
      <c r="AE72" s="80">
        <f>IF(AG68&gt;0,ROUND(AG68*($AG$6/1200),2),0)</f>
        <v>0</v>
      </c>
      <c r="AF72" s="80">
        <f>IF(AG68&lt;$AE$8,AG68,$AE$8-AE72)</f>
        <v>0</v>
      </c>
      <c r="AG72" s="80">
        <f>IF(AG68-AF72&gt;0,AG68-AF72,0)</f>
        <v>0</v>
      </c>
      <c r="AH72" s="47"/>
    </row>
    <row r="73" spans="2:34" x14ac:dyDescent="0.25">
      <c r="B73" s="72">
        <v>50</v>
      </c>
      <c r="C73" s="47" t="str">
        <f>IF(F72&gt;0.005,"February","")</f>
        <v>February</v>
      </c>
      <c r="D73" s="80">
        <f>IF(F72&gt;0,ROUND(F72*($F$6/12),2),0)</f>
        <v>16132.88</v>
      </c>
      <c r="E73" s="80">
        <f t="shared" ref="E73:E83" si="66">IF(F72&lt;$D$8,F72,$D$8-D73)</f>
        <v>8510.2369262268712</v>
      </c>
      <c r="F73" s="80">
        <f t="shared" ref="F73:F83" si="67">IF(F72-E73&gt;0,F72-E73,0)</f>
        <v>4713308.2506148843</v>
      </c>
      <c r="G73" s="47"/>
      <c r="I73" s="81">
        <f t="shared" ref="I73:I83" si="68">L72*J73/12</f>
        <v>14759.434581202588</v>
      </c>
      <c r="J73" s="82">
        <f t="shared" ref="J73:J83" si="69">$F$6</f>
        <v>4.1000000000000002E-2</v>
      </c>
      <c r="K73" s="81"/>
      <c r="L73" s="81">
        <f t="shared" ref="L73:L83" si="70">MAX(L72+L72*($F$6/100)/12-I73-K73,0)</f>
        <v>4305222.6713360986</v>
      </c>
      <c r="M73" s="83">
        <f t="shared" si="65"/>
        <v>13961.729701019873</v>
      </c>
      <c r="N73" s="84"/>
      <c r="O73" s="72">
        <v>50</v>
      </c>
      <c r="P73" s="47" t="str">
        <f>IF(S72&gt;0.005,"February","")</f>
        <v/>
      </c>
      <c r="Q73" s="80">
        <f>IF(O73&lt;$S$7,"",IF(O73=$S$7,$Q$6*($S$6/12),S72*($S$6/12)))</f>
        <v>0</v>
      </c>
      <c r="R73" s="80">
        <f t="shared" ref="R73:R83" si="71">IF(O73&lt;$S$7,"",$Q$8-Q73)</f>
        <v>0</v>
      </c>
      <c r="S73" s="80">
        <f t="shared" ref="S73:S83" si="72">IF(O73&lt;$S$7,"",IF(O73=$S$7,$Q$6-R73,S72-R73))</f>
        <v>0</v>
      </c>
      <c r="T73" s="47"/>
      <c r="U73" s="84"/>
      <c r="V73" s="72">
        <v>50</v>
      </c>
      <c r="W73" s="47" t="e">
        <f>IF(Z72&gt;0.005,"February","")</f>
        <v>#NAME?</v>
      </c>
      <c r="X73" s="80" t="e">
        <f t="shared" ref="X73:X83" si="73">IF(V73&lt;$Z$7,"",($Z$6/12)*$X$6)</f>
        <v>#NAME?</v>
      </c>
      <c r="Y73" s="80"/>
      <c r="Z73" s="80" t="e">
        <f t="shared" ref="Z73:Z83" si="74">IF(V73&lt;$S$7,"",$X$6)</f>
        <v>#NAME?</v>
      </c>
      <c r="AA73" s="47"/>
      <c r="AB73" s="84"/>
      <c r="AC73" s="83"/>
      <c r="AD73" s="47" t="str">
        <f>IF(AG72&gt;0.005,"February","")</f>
        <v/>
      </c>
      <c r="AE73" s="80">
        <f t="shared" ref="AE73:AE83" si="75">IF(AG72&gt;0,ROUND(AG72*($AG$6/1200),2),0)</f>
        <v>0</v>
      </c>
      <c r="AF73" s="80">
        <f t="shared" ref="AF73:AF83" si="76">IF(AG72&lt;$AE$8,AG72,$AE$8-AE73)</f>
        <v>0</v>
      </c>
      <c r="AG73" s="80">
        <f t="shared" ref="AG73:AG83" si="77">IF(AG72-AF73&gt;0,AG72-AF73,0)</f>
        <v>0</v>
      </c>
      <c r="AH73" s="47"/>
    </row>
    <row r="74" spans="2:34" x14ac:dyDescent="0.25">
      <c r="B74" s="72">
        <v>51</v>
      </c>
      <c r="C74" s="47" t="str">
        <f>IF(F73&gt;0.005,"March","")</f>
        <v>March</v>
      </c>
      <c r="D74" s="80">
        <f t="shared" ref="D74:D82" si="78">IF(F73&gt;0,ROUND(F73*($F$6/12),2),0)</f>
        <v>16103.8</v>
      </c>
      <c r="E74" s="80">
        <f t="shared" si="66"/>
        <v>8539.3169262268711</v>
      </c>
      <c r="F74" s="80">
        <f t="shared" si="67"/>
        <v>4704768.9336886574</v>
      </c>
      <c r="G74" s="47"/>
      <c r="I74" s="81">
        <f t="shared" si="68"/>
        <v>14709.510793731672</v>
      </c>
      <c r="J74" s="82">
        <f t="shared" si="69"/>
        <v>4.1000000000000002E-2</v>
      </c>
      <c r="K74" s="81"/>
      <c r="L74" s="81">
        <f t="shared" si="70"/>
        <v>4290660.2556503043</v>
      </c>
      <c r="M74" s="83">
        <f t="shared" si="65"/>
        <v>13959.296859070895</v>
      </c>
      <c r="N74" s="84"/>
      <c r="O74" s="72">
        <v>51</v>
      </c>
      <c r="P74" s="47" t="str">
        <f>IF(S73&gt;0.005,"March","")</f>
        <v/>
      </c>
      <c r="Q74" s="80">
        <f t="shared" ref="Q74:Q83" si="79">IF(O74&lt;$S$7,"",IF(O74=$S$7,$Q$6*($S$6/12),S73*($S$6/12)))</f>
        <v>0</v>
      </c>
      <c r="R74" s="80">
        <f t="shared" si="71"/>
        <v>0</v>
      </c>
      <c r="S74" s="80">
        <f t="shared" si="72"/>
        <v>0</v>
      </c>
      <c r="T74" s="47"/>
      <c r="U74" s="84"/>
      <c r="V74" s="72">
        <v>51</v>
      </c>
      <c r="W74" s="47" t="e">
        <f>IF(Z73&gt;0.005,"March","")</f>
        <v>#NAME?</v>
      </c>
      <c r="X74" s="80" t="e">
        <f t="shared" si="73"/>
        <v>#NAME?</v>
      </c>
      <c r="Y74" s="80"/>
      <c r="Z74" s="80" t="e">
        <f t="shared" si="74"/>
        <v>#NAME?</v>
      </c>
      <c r="AA74" s="47"/>
      <c r="AB74" s="84"/>
      <c r="AC74" s="83"/>
      <c r="AD74" s="47" t="str">
        <f>IF(AG73&gt;0.005,"March","")</f>
        <v/>
      </c>
      <c r="AE74" s="80">
        <f t="shared" si="75"/>
        <v>0</v>
      </c>
      <c r="AF74" s="80">
        <f t="shared" si="76"/>
        <v>0</v>
      </c>
      <c r="AG74" s="80">
        <f t="shared" si="77"/>
        <v>0</v>
      </c>
      <c r="AH74" s="47"/>
    </row>
    <row r="75" spans="2:34" x14ac:dyDescent="0.25">
      <c r="B75" s="72">
        <v>52</v>
      </c>
      <c r="C75" s="47" t="str">
        <f>IF(F74&gt;0.005,"April","")</f>
        <v>April</v>
      </c>
      <c r="D75" s="80">
        <f t="shared" si="78"/>
        <v>16074.63</v>
      </c>
      <c r="E75" s="80">
        <f t="shared" si="66"/>
        <v>8568.4869262268712</v>
      </c>
      <c r="F75" s="80">
        <f t="shared" si="67"/>
        <v>4696200.4467624305</v>
      </c>
      <c r="G75" s="47"/>
      <c r="I75" s="81">
        <f t="shared" si="68"/>
        <v>14659.755873471875</v>
      </c>
      <c r="J75" s="82">
        <f t="shared" si="69"/>
        <v>4.1000000000000002E-2</v>
      </c>
      <c r="K75" s="81"/>
      <c r="L75" s="81">
        <f t="shared" si="70"/>
        <v>4276147.0973355677</v>
      </c>
      <c r="M75" s="83">
        <f t="shared" si="65"/>
        <v>13957.010615478903</v>
      </c>
      <c r="N75" s="84"/>
      <c r="O75" s="72">
        <v>52</v>
      </c>
      <c r="P75" s="47" t="str">
        <f>IF(S74&gt;0.005,"April","")</f>
        <v/>
      </c>
      <c r="Q75" s="80">
        <f t="shared" si="79"/>
        <v>0</v>
      </c>
      <c r="R75" s="80">
        <f t="shared" si="71"/>
        <v>0</v>
      </c>
      <c r="S75" s="80">
        <f t="shared" si="72"/>
        <v>0</v>
      </c>
      <c r="T75" s="47"/>
      <c r="U75" s="84"/>
      <c r="V75" s="72">
        <v>52</v>
      </c>
      <c r="W75" s="47" t="e">
        <f>IF(Z74&gt;0.005,"April","")</f>
        <v>#NAME?</v>
      </c>
      <c r="X75" s="80" t="e">
        <f t="shared" si="73"/>
        <v>#NAME?</v>
      </c>
      <c r="Y75" s="80"/>
      <c r="Z75" s="80" t="e">
        <f t="shared" si="74"/>
        <v>#NAME?</v>
      </c>
      <c r="AA75" s="47"/>
      <c r="AB75" s="84"/>
      <c r="AC75" s="83"/>
      <c r="AD75" s="47" t="str">
        <f>IF(AG74&gt;0.005,"April","")</f>
        <v/>
      </c>
      <c r="AE75" s="80">
        <f t="shared" si="75"/>
        <v>0</v>
      </c>
      <c r="AF75" s="80">
        <f t="shared" si="76"/>
        <v>0</v>
      </c>
      <c r="AG75" s="80">
        <f t="shared" si="77"/>
        <v>0</v>
      </c>
      <c r="AH75" s="47"/>
    </row>
    <row r="76" spans="2:34" x14ac:dyDescent="0.25">
      <c r="B76" s="72">
        <v>53</v>
      </c>
      <c r="C76" s="47" t="str">
        <f>IF(F75&gt;0.005,"May","")</f>
        <v>May</v>
      </c>
      <c r="D76" s="80">
        <f t="shared" si="78"/>
        <v>16045.35</v>
      </c>
      <c r="E76" s="80">
        <f t="shared" si="66"/>
        <v>8597.7669262268701</v>
      </c>
      <c r="F76" s="80">
        <f t="shared" si="67"/>
        <v>4687602.6798362033</v>
      </c>
      <c r="G76" s="47"/>
      <c r="I76" s="81">
        <f t="shared" si="68"/>
        <v>14610.169249229855</v>
      </c>
      <c r="J76" s="82">
        <f t="shared" si="69"/>
        <v>4.1000000000000002E-2</v>
      </c>
      <c r="K76" s="81"/>
      <c r="L76" s="81">
        <f t="shared" si="70"/>
        <v>4261683.0297788298</v>
      </c>
      <c r="M76" s="83">
        <f t="shared" si="65"/>
        <v>13954.87184894762</v>
      </c>
      <c r="N76" s="84"/>
      <c r="O76" s="72">
        <v>53</v>
      </c>
      <c r="P76" s="47" t="str">
        <f>IF(S75&gt;0.005,"May","")</f>
        <v/>
      </c>
      <c r="Q76" s="80">
        <f t="shared" si="79"/>
        <v>0</v>
      </c>
      <c r="R76" s="80">
        <f t="shared" si="71"/>
        <v>0</v>
      </c>
      <c r="S76" s="80">
        <f t="shared" si="72"/>
        <v>0</v>
      </c>
      <c r="T76" s="47"/>
      <c r="U76" s="84"/>
      <c r="V76" s="72">
        <v>53</v>
      </c>
      <c r="W76" s="47" t="e">
        <f>IF(Z75&gt;0.005,"May","")</f>
        <v>#NAME?</v>
      </c>
      <c r="X76" s="80" t="e">
        <f t="shared" si="73"/>
        <v>#NAME?</v>
      </c>
      <c r="Y76" s="80"/>
      <c r="Z76" s="80" t="e">
        <f t="shared" si="74"/>
        <v>#NAME?</v>
      </c>
      <c r="AA76" s="47"/>
      <c r="AB76" s="84"/>
      <c r="AC76" s="83"/>
      <c r="AD76" s="47" t="str">
        <f>IF(AG75&gt;0.005,"May","")</f>
        <v/>
      </c>
      <c r="AE76" s="80">
        <f t="shared" si="75"/>
        <v>0</v>
      </c>
      <c r="AF76" s="80">
        <f t="shared" si="76"/>
        <v>0</v>
      </c>
      <c r="AG76" s="80">
        <f t="shared" si="77"/>
        <v>0</v>
      </c>
      <c r="AH76" s="47"/>
    </row>
    <row r="77" spans="2:34" x14ac:dyDescent="0.25">
      <c r="B77" s="72">
        <v>54</v>
      </c>
      <c r="C77" s="47" t="str">
        <f>IF(F76&gt;0.005,"June","")</f>
        <v>June</v>
      </c>
      <c r="D77" s="80">
        <f t="shared" si="78"/>
        <v>16015.98</v>
      </c>
      <c r="E77" s="80">
        <f t="shared" si="66"/>
        <v>8627.1369262268709</v>
      </c>
      <c r="F77" s="80">
        <f t="shared" si="67"/>
        <v>4678975.5429099761</v>
      </c>
      <c r="G77" s="47"/>
      <c r="I77" s="81">
        <f t="shared" si="68"/>
        <v>14560.750351744335</v>
      </c>
      <c r="J77" s="82">
        <f t="shared" si="69"/>
        <v>4.1000000000000002E-2</v>
      </c>
      <c r="K77" s="81"/>
      <c r="L77" s="81">
        <f t="shared" si="70"/>
        <v>4247267.8869306026</v>
      </c>
      <c r="M77" s="83">
        <f t="shared" si="65"/>
        <v>13952.881451556021</v>
      </c>
      <c r="N77" s="84"/>
      <c r="O77" s="72">
        <v>54</v>
      </c>
      <c r="P77" s="47" t="str">
        <f>IF(S76&gt;0.005,"June","")</f>
        <v/>
      </c>
      <c r="Q77" s="80">
        <f t="shared" si="79"/>
        <v>0</v>
      </c>
      <c r="R77" s="80">
        <f t="shared" si="71"/>
        <v>0</v>
      </c>
      <c r="S77" s="80">
        <f t="shared" si="72"/>
        <v>0</v>
      </c>
      <c r="T77" s="47"/>
      <c r="U77" s="84"/>
      <c r="V77" s="72">
        <v>54</v>
      </c>
      <c r="W77" s="47" t="e">
        <f>IF(Z76&gt;0.005,"June","")</f>
        <v>#NAME?</v>
      </c>
      <c r="X77" s="80" t="e">
        <f t="shared" si="73"/>
        <v>#NAME?</v>
      </c>
      <c r="Y77" s="80"/>
      <c r="Z77" s="80" t="e">
        <f t="shared" si="74"/>
        <v>#NAME?</v>
      </c>
      <c r="AA77" s="47"/>
      <c r="AB77" s="84"/>
      <c r="AC77" s="83"/>
      <c r="AD77" s="47" t="str">
        <f>IF(AG76&gt;0.005,"June","")</f>
        <v/>
      </c>
      <c r="AE77" s="80">
        <f t="shared" si="75"/>
        <v>0</v>
      </c>
      <c r="AF77" s="80">
        <f t="shared" si="76"/>
        <v>0</v>
      </c>
      <c r="AG77" s="80">
        <f t="shared" si="77"/>
        <v>0</v>
      </c>
      <c r="AH77" s="47"/>
    </row>
    <row r="78" spans="2:34" x14ac:dyDescent="0.25">
      <c r="B78" s="72">
        <v>55</v>
      </c>
      <c r="C78" s="47" t="str">
        <f>IF(F77&gt;0.005,"July","")</f>
        <v>July</v>
      </c>
      <c r="D78" s="80">
        <f t="shared" si="78"/>
        <v>15986.5</v>
      </c>
      <c r="E78" s="80">
        <f t="shared" si="66"/>
        <v>8656.6169262268704</v>
      </c>
      <c r="F78" s="80">
        <f t="shared" si="67"/>
        <v>4670318.9259837493</v>
      </c>
      <c r="G78" s="47"/>
      <c r="I78" s="81">
        <f t="shared" si="68"/>
        <v>14511.498613679558</v>
      </c>
      <c r="J78" s="82">
        <f t="shared" si="69"/>
        <v>4.1000000000000002E-2</v>
      </c>
      <c r="K78" s="81"/>
      <c r="L78" s="81">
        <f t="shared" si="70"/>
        <v>4232901.5033030594</v>
      </c>
      <c r="M78" s="83">
        <f t="shared" si="65"/>
        <v>13951.040328971152</v>
      </c>
      <c r="N78" s="84"/>
      <c r="O78" s="72">
        <v>55</v>
      </c>
      <c r="P78" s="47" t="str">
        <f>IF(S77&gt;0.005,"July","")</f>
        <v/>
      </c>
      <c r="Q78" s="80">
        <f t="shared" si="79"/>
        <v>0</v>
      </c>
      <c r="R78" s="80">
        <f t="shared" si="71"/>
        <v>0</v>
      </c>
      <c r="S78" s="80">
        <f t="shared" si="72"/>
        <v>0</v>
      </c>
      <c r="T78" s="47"/>
      <c r="U78" s="84"/>
      <c r="V78" s="72">
        <v>55</v>
      </c>
      <c r="W78" s="47" t="e">
        <f>IF(Z77&gt;0.005,"July","")</f>
        <v>#NAME?</v>
      </c>
      <c r="X78" s="80" t="e">
        <f t="shared" si="73"/>
        <v>#NAME?</v>
      </c>
      <c r="Y78" s="80"/>
      <c r="Z78" s="80" t="e">
        <f t="shared" si="74"/>
        <v>#NAME?</v>
      </c>
      <c r="AA78" s="47"/>
      <c r="AB78" s="84"/>
      <c r="AC78" s="83"/>
      <c r="AD78" s="47" t="str">
        <f>IF(AG77&gt;0.005,"July","")</f>
        <v/>
      </c>
      <c r="AE78" s="80">
        <f t="shared" si="75"/>
        <v>0</v>
      </c>
      <c r="AF78" s="80">
        <f t="shared" si="76"/>
        <v>0</v>
      </c>
      <c r="AG78" s="80">
        <f t="shared" si="77"/>
        <v>0</v>
      </c>
      <c r="AH78" s="47"/>
    </row>
    <row r="79" spans="2:34" x14ac:dyDescent="0.25">
      <c r="B79" s="72">
        <v>56</v>
      </c>
      <c r="C79" s="47" t="str">
        <f>IF(F78&gt;0.005,"August","")</f>
        <v>August</v>
      </c>
      <c r="D79" s="80">
        <f t="shared" si="78"/>
        <v>15956.92</v>
      </c>
      <c r="E79" s="80">
        <f t="shared" si="66"/>
        <v>8686.1969262268703</v>
      </c>
      <c r="F79" s="80">
        <f t="shared" si="67"/>
        <v>4661632.7290575225</v>
      </c>
      <c r="G79" s="47"/>
      <c r="I79" s="81">
        <f t="shared" si="68"/>
        <v>14462.413469618788</v>
      </c>
      <c r="J79" s="82">
        <f t="shared" si="69"/>
        <v>4.1000000000000002E-2</v>
      </c>
      <c r="K79" s="81"/>
      <c r="L79" s="81">
        <f t="shared" si="70"/>
        <v>4218583.7139681363</v>
      </c>
      <c r="M79" s="83">
        <f t="shared" si="65"/>
        <v>13949.349400665191</v>
      </c>
      <c r="N79" s="84"/>
      <c r="O79" s="72">
        <v>56</v>
      </c>
      <c r="P79" s="47" t="str">
        <f>IF(S78&gt;0.005,"August","")</f>
        <v/>
      </c>
      <c r="Q79" s="80">
        <f t="shared" si="79"/>
        <v>0</v>
      </c>
      <c r="R79" s="80">
        <f t="shared" si="71"/>
        <v>0</v>
      </c>
      <c r="S79" s="80">
        <f t="shared" si="72"/>
        <v>0</v>
      </c>
      <c r="T79" s="47"/>
      <c r="U79" s="84"/>
      <c r="V79" s="72">
        <v>56</v>
      </c>
      <c r="W79" s="47" t="e">
        <f>IF(Z78&gt;0.005,"August","")</f>
        <v>#NAME?</v>
      </c>
      <c r="X79" s="80" t="e">
        <f t="shared" si="73"/>
        <v>#NAME?</v>
      </c>
      <c r="Y79" s="80"/>
      <c r="Z79" s="80" t="e">
        <f t="shared" si="74"/>
        <v>#NAME?</v>
      </c>
      <c r="AA79" s="47"/>
      <c r="AB79" s="84"/>
      <c r="AC79" s="83"/>
      <c r="AD79" s="47" t="str">
        <f>IF(AG78&gt;0.005,"August","")</f>
        <v/>
      </c>
      <c r="AE79" s="80">
        <f t="shared" si="75"/>
        <v>0</v>
      </c>
      <c r="AF79" s="80">
        <f t="shared" si="76"/>
        <v>0</v>
      </c>
      <c r="AG79" s="80">
        <f t="shared" si="77"/>
        <v>0</v>
      </c>
      <c r="AH79" s="47"/>
    </row>
    <row r="80" spans="2:34" x14ac:dyDescent="0.25">
      <c r="B80" s="72">
        <v>57</v>
      </c>
      <c r="C80" s="47" t="str">
        <f>IF(F79&gt;0.005,"September","")</f>
        <v>September</v>
      </c>
      <c r="D80" s="80">
        <f t="shared" si="78"/>
        <v>15927.25</v>
      </c>
      <c r="E80" s="80">
        <f t="shared" si="66"/>
        <v>8715.8669262268704</v>
      </c>
      <c r="F80" s="80">
        <f t="shared" si="67"/>
        <v>4652916.8621312957</v>
      </c>
      <c r="G80" s="47"/>
      <c r="I80" s="81">
        <f t="shared" si="68"/>
        <v>14413.494356057801</v>
      </c>
      <c r="J80" s="82">
        <f t="shared" si="69"/>
        <v>4.1000000000000002E-2</v>
      </c>
      <c r="K80" s="81"/>
      <c r="L80" s="81">
        <f t="shared" si="70"/>
        <v>4204314.3545556394</v>
      </c>
      <c r="M80" s="83">
        <f t="shared" si="65"/>
        <v>13947.809600136794</v>
      </c>
      <c r="N80" s="84"/>
      <c r="O80" s="72">
        <v>57</v>
      </c>
      <c r="P80" s="47" t="str">
        <f>IF(S79&gt;0.005,"September","")</f>
        <v/>
      </c>
      <c r="Q80" s="80">
        <f t="shared" si="79"/>
        <v>0</v>
      </c>
      <c r="R80" s="80">
        <f t="shared" si="71"/>
        <v>0</v>
      </c>
      <c r="S80" s="80">
        <f t="shared" si="72"/>
        <v>0</v>
      </c>
      <c r="T80" s="47"/>
      <c r="U80" s="84"/>
      <c r="V80" s="72">
        <v>57</v>
      </c>
      <c r="W80" s="47" t="e">
        <f>IF(Z79&gt;0.005,"September","")</f>
        <v>#NAME?</v>
      </c>
      <c r="X80" s="80" t="e">
        <f t="shared" si="73"/>
        <v>#NAME?</v>
      </c>
      <c r="Y80" s="80"/>
      <c r="Z80" s="80" t="e">
        <f t="shared" si="74"/>
        <v>#NAME?</v>
      </c>
      <c r="AA80" s="47"/>
      <c r="AB80" s="84"/>
      <c r="AC80" s="83"/>
      <c r="AD80" s="47" t="str">
        <f>IF(AG79&gt;0.005,"September","")</f>
        <v/>
      </c>
      <c r="AE80" s="80">
        <f t="shared" si="75"/>
        <v>0</v>
      </c>
      <c r="AF80" s="80">
        <f t="shared" si="76"/>
        <v>0</v>
      </c>
      <c r="AG80" s="80">
        <f t="shared" si="77"/>
        <v>0</v>
      </c>
      <c r="AH80" s="47"/>
    </row>
    <row r="81" spans="2:34" x14ac:dyDescent="0.25">
      <c r="B81" s="72">
        <v>58</v>
      </c>
      <c r="C81" s="47" t="str">
        <f>IF(F80&gt;0.005,"October","")</f>
        <v>October</v>
      </c>
      <c r="D81" s="80">
        <f t="shared" si="78"/>
        <v>15897.47</v>
      </c>
      <c r="E81" s="80">
        <f t="shared" si="66"/>
        <v>8745.6469262268711</v>
      </c>
      <c r="F81" s="80">
        <f t="shared" si="67"/>
        <v>4644171.2152050687</v>
      </c>
      <c r="G81" s="47"/>
      <c r="I81" s="81">
        <f t="shared" si="68"/>
        <v>14364.740711398435</v>
      </c>
      <c r="J81" s="82">
        <f t="shared" si="69"/>
        <v>4.1000000000000002E-2</v>
      </c>
      <c r="K81" s="81"/>
      <c r="L81" s="81">
        <f t="shared" si="70"/>
        <v>4190093.2612513546</v>
      </c>
      <c r="M81" s="83">
        <f t="shared" si="65"/>
        <v>13946.421875136903</v>
      </c>
      <c r="N81" s="84"/>
      <c r="O81" s="72">
        <v>58</v>
      </c>
      <c r="P81" s="47" t="str">
        <f>IF(S80&gt;0.005,"October","")</f>
        <v/>
      </c>
      <c r="Q81" s="80">
        <f t="shared" si="79"/>
        <v>0</v>
      </c>
      <c r="R81" s="80">
        <f t="shared" si="71"/>
        <v>0</v>
      </c>
      <c r="S81" s="80">
        <f t="shared" si="72"/>
        <v>0</v>
      </c>
      <c r="T81" s="47"/>
      <c r="U81" s="84"/>
      <c r="V81" s="72">
        <v>58</v>
      </c>
      <c r="W81" s="47" t="e">
        <f>IF(Z80&gt;0.005,"October","")</f>
        <v>#NAME?</v>
      </c>
      <c r="X81" s="80" t="e">
        <f t="shared" si="73"/>
        <v>#NAME?</v>
      </c>
      <c r="Y81" s="80"/>
      <c r="Z81" s="80" t="e">
        <f t="shared" si="74"/>
        <v>#NAME?</v>
      </c>
      <c r="AA81" s="47"/>
      <c r="AB81" s="84"/>
      <c r="AC81" s="83"/>
      <c r="AD81" s="47" t="str">
        <f>IF(AG80&gt;0.005,"October","")</f>
        <v/>
      </c>
      <c r="AE81" s="80">
        <f t="shared" si="75"/>
        <v>0</v>
      </c>
      <c r="AF81" s="80">
        <f t="shared" si="76"/>
        <v>0</v>
      </c>
      <c r="AG81" s="80">
        <f t="shared" si="77"/>
        <v>0</v>
      </c>
      <c r="AH81" s="47"/>
    </row>
    <row r="82" spans="2:34" x14ac:dyDescent="0.25">
      <c r="B82" s="72">
        <v>59</v>
      </c>
      <c r="C82" s="47" t="str">
        <f>IF(F81&gt;0.005,"November","")</f>
        <v>November</v>
      </c>
      <c r="D82" s="80">
        <f t="shared" si="78"/>
        <v>15867.58</v>
      </c>
      <c r="E82" s="80">
        <f t="shared" si="66"/>
        <v>8775.5369262268705</v>
      </c>
      <c r="F82" s="80">
        <f t="shared" si="67"/>
        <v>4635395.678278842</v>
      </c>
      <c r="G82" s="47"/>
      <c r="I82" s="81">
        <f t="shared" si="68"/>
        <v>14316.151975942128</v>
      </c>
      <c r="J82" s="82">
        <f t="shared" si="69"/>
        <v>4.1000000000000002E-2</v>
      </c>
      <c r="K82" s="81"/>
      <c r="L82" s="81">
        <f t="shared" si="70"/>
        <v>4175920.2707951716</v>
      </c>
      <c r="M82" s="83">
        <f t="shared" si="65"/>
        <v>13945.187187899028</v>
      </c>
      <c r="N82" s="84"/>
      <c r="O82" s="72">
        <v>59</v>
      </c>
      <c r="P82" s="47" t="str">
        <f>IF(S81&gt;0.005,"November","")</f>
        <v/>
      </c>
      <c r="Q82" s="80">
        <f t="shared" si="79"/>
        <v>0</v>
      </c>
      <c r="R82" s="80">
        <f t="shared" si="71"/>
        <v>0</v>
      </c>
      <c r="S82" s="80">
        <f t="shared" si="72"/>
        <v>0</v>
      </c>
      <c r="T82" s="47"/>
      <c r="U82" s="84"/>
      <c r="V82" s="72">
        <v>59</v>
      </c>
      <c r="W82" s="47" t="e">
        <f>IF(Z81&gt;0.005,"November","")</f>
        <v>#NAME?</v>
      </c>
      <c r="X82" s="80" t="e">
        <f t="shared" si="73"/>
        <v>#NAME?</v>
      </c>
      <c r="Y82" s="80"/>
      <c r="Z82" s="80" t="e">
        <f t="shared" si="74"/>
        <v>#NAME?</v>
      </c>
      <c r="AA82" s="47"/>
      <c r="AB82" s="84"/>
      <c r="AC82" s="83"/>
      <c r="AD82" s="47" t="str">
        <f>IF(AG81&gt;0.005,"November","")</f>
        <v/>
      </c>
      <c r="AE82" s="80">
        <f t="shared" si="75"/>
        <v>0</v>
      </c>
      <c r="AF82" s="80">
        <f t="shared" si="76"/>
        <v>0</v>
      </c>
      <c r="AG82" s="80">
        <f t="shared" si="77"/>
        <v>0</v>
      </c>
      <c r="AH82" s="47"/>
    </row>
    <row r="83" spans="2:34" x14ac:dyDescent="0.25">
      <c r="B83" s="72">
        <v>60</v>
      </c>
      <c r="C83" s="47" t="str">
        <f>IF(F82&gt;0.005,"December","")</f>
        <v>December</v>
      </c>
      <c r="D83" s="80">
        <f>IF(F82&gt;0,ROUND(F82*($F$6/12),2),0)</f>
        <v>15837.6</v>
      </c>
      <c r="E83" s="80">
        <f t="shared" si="66"/>
        <v>8805.5169262268701</v>
      </c>
      <c r="F83" s="80">
        <f t="shared" si="67"/>
        <v>4626590.1613526149</v>
      </c>
      <c r="G83" s="47"/>
      <c r="I83" s="81">
        <f t="shared" si="68"/>
        <v>14267.727591883502</v>
      </c>
      <c r="J83" s="82">
        <f t="shared" si="69"/>
        <v>4.1000000000000002E-2</v>
      </c>
      <c r="K83" s="81"/>
      <c r="L83" s="81">
        <f t="shared" si="70"/>
        <v>4161795.2204792071</v>
      </c>
      <c r="M83" s="83">
        <f t="shared" si="65"/>
        <v>13944.106515374213</v>
      </c>
      <c r="N83" s="84"/>
      <c r="O83" s="72">
        <v>60</v>
      </c>
      <c r="P83" s="47" t="str">
        <f>IF(S82&gt;0.005,"December","")</f>
        <v/>
      </c>
      <c r="Q83" s="80">
        <f t="shared" si="79"/>
        <v>0</v>
      </c>
      <c r="R83" s="80">
        <f t="shared" si="71"/>
        <v>0</v>
      </c>
      <c r="S83" s="80">
        <f t="shared" si="72"/>
        <v>0</v>
      </c>
      <c r="T83" s="47"/>
      <c r="U83" s="84"/>
      <c r="V83" s="72">
        <v>60</v>
      </c>
      <c r="W83" s="47" t="e">
        <f>IF(Z82&gt;0.005,"December","")</f>
        <v>#NAME?</v>
      </c>
      <c r="X83" s="80" t="e">
        <f t="shared" si="73"/>
        <v>#NAME?</v>
      </c>
      <c r="Y83" s="80"/>
      <c r="Z83" s="80" t="e">
        <f t="shared" si="74"/>
        <v>#NAME?</v>
      </c>
      <c r="AA83" s="47"/>
      <c r="AB83" s="84"/>
      <c r="AC83" s="83"/>
      <c r="AD83" s="47" t="str">
        <f>IF(AG82&gt;0.005,"December","")</f>
        <v/>
      </c>
      <c r="AE83" s="80">
        <f t="shared" si="75"/>
        <v>0</v>
      </c>
      <c r="AF83" s="80">
        <f t="shared" si="76"/>
        <v>0</v>
      </c>
      <c r="AG83" s="80">
        <f t="shared" si="77"/>
        <v>0</v>
      </c>
      <c r="AH83" s="47"/>
    </row>
    <row r="84" spans="2:34" x14ac:dyDescent="0.25">
      <c r="B84" s="46"/>
      <c r="C84" s="85" t="str">
        <f>"Total "&amp;YEAR($C$9)+4</f>
        <v>Total 2023</v>
      </c>
      <c r="D84" s="86">
        <f>SUM(D72:D83)</f>
        <v>192007.81999999998</v>
      </c>
      <c r="E84" s="86">
        <f>SUM(E72:E83)</f>
        <v>103709.58311472244</v>
      </c>
      <c r="F84" s="87"/>
      <c r="G84" s="47"/>
      <c r="I84" s="86">
        <f>SUM(I72:I83)</f>
        <v>174445.17537697713</v>
      </c>
      <c r="J84" s="46"/>
      <c r="K84" s="86">
        <f>SUM(K72:K83)</f>
        <v>0</v>
      </c>
      <c r="L84" s="46"/>
      <c r="M84" s="46"/>
      <c r="O84" s="46"/>
      <c r="P84" s="85" t="str">
        <f>"Total "&amp;YEAR($C$9)+4</f>
        <v>Total 2023</v>
      </c>
      <c r="Q84" s="86">
        <f>SUM(Q72:Q83)</f>
        <v>0</v>
      </c>
      <c r="R84" s="86">
        <f>SUM(R72:R83)</f>
        <v>0</v>
      </c>
      <c r="S84" s="87"/>
      <c r="T84" s="47"/>
      <c r="V84" s="46"/>
      <c r="W84" s="85" t="str">
        <f>"Total "&amp;YEAR($C$9)+4</f>
        <v>Total 2023</v>
      </c>
      <c r="X84" s="86" t="e">
        <f>SUM(X72:X83)</f>
        <v>#NAME?</v>
      </c>
      <c r="Y84" s="86">
        <f>SUM(Y72:Y83)</f>
        <v>0</v>
      </c>
      <c r="Z84" s="87"/>
      <c r="AA84" s="47"/>
      <c r="AC84" s="46"/>
      <c r="AD84" s="85" t="str">
        <f>"Total "&amp;YEAR($C$9)+4</f>
        <v>Total 2023</v>
      </c>
      <c r="AE84" s="86">
        <f>SUM(AE72:AE83)</f>
        <v>0</v>
      </c>
      <c r="AF84" s="86">
        <f>SUM(AF72:AF83)</f>
        <v>0</v>
      </c>
      <c r="AG84" s="87"/>
      <c r="AH84" s="47"/>
    </row>
    <row r="85" spans="2:34" x14ac:dyDescent="0.25">
      <c r="B85" s="46"/>
      <c r="C85" s="50"/>
      <c r="D85" s="88"/>
      <c r="E85" s="88"/>
      <c r="F85" s="80"/>
      <c r="G85" s="47"/>
      <c r="I85" s="46"/>
      <c r="J85" s="46"/>
      <c r="K85" s="46"/>
      <c r="L85" s="46"/>
      <c r="M85" s="46"/>
      <c r="O85" s="46"/>
      <c r="P85" s="50"/>
      <c r="Q85" s="88"/>
      <c r="R85" s="88"/>
      <c r="S85" s="80"/>
      <c r="T85" s="47"/>
      <c r="V85" s="46"/>
      <c r="W85" s="50"/>
      <c r="X85" s="88"/>
      <c r="Y85" s="88"/>
      <c r="Z85" s="80"/>
      <c r="AA85" s="47"/>
      <c r="AC85" s="46"/>
      <c r="AD85" s="50"/>
      <c r="AE85" s="88"/>
      <c r="AF85" s="88"/>
      <c r="AG85" s="80"/>
      <c r="AH85" s="47"/>
    </row>
    <row r="86" spans="2:34" x14ac:dyDescent="0.25">
      <c r="B86" s="46"/>
      <c r="C86" s="47"/>
      <c r="D86" s="75" t="s">
        <v>62</v>
      </c>
      <c r="E86" s="75" t="s">
        <v>63</v>
      </c>
      <c r="F86" s="75" t="s">
        <v>64</v>
      </c>
      <c r="G86" s="47"/>
      <c r="I86" s="46"/>
      <c r="J86" s="46"/>
      <c r="K86" s="46"/>
      <c r="L86" s="46"/>
      <c r="M86" s="46"/>
      <c r="O86" s="46"/>
      <c r="P86" s="47"/>
      <c r="Q86" s="75" t="s">
        <v>62</v>
      </c>
      <c r="R86" s="75" t="s">
        <v>63</v>
      </c>
      <c r="S86" s="75" t="s">
        <v>64</v>
      </c>
      <c r="T86" s="47"/>
      <c r="V86" s="46"/>
      <c r="W86" s="47"/>
      <c r="X86" s="75" t="s">
        <v>62</v>
      </c>
      <c r="Y86" s="75" t="s">
        <v>63</v>
      </c>
      <c r="Z86" s="75" t="s">
        <v>64</v>
      </c>
      <c r="AA86" s="47"/>
      <c r="AC86" s="46"/>
      <c r="AD86" s="47"/>
      <c r="AE86" s="75" t="s">
        <v>62</v>
      </c>
      <c r="AF86" s="75" t="s">
        <v>63</v>
      </c>
      <c r="AG86" s="75" t="s">
        <v>64</v>
      </c>
      <c r="AH86" s="47"/>
    </row>
    <row r="87" spans="2:34" x14ac:dyDescent="0.25">
      <c r="B87" s="72">
        <v>61</v>
      </c>
      <c r="C87" s="47" t="str">
        <f>IF(F83&gt;0.005,"January","")</f>
        <v>January</v>
      </c>
      <c r="D87" s="80">
        <f>IF(F83&gt;0,ROUND(F83*($F$6/12),2),0)</f>
        <v>15807.52</v>
      </c>
      <c r="E87" s="80">
        <f>IF(F83&lt;$D$8,F83,$D$8-D87)</f>
        <v>8835.59692622687</v>
      </c>
      <c r="F87" s="80">
        <f>IF(F83-E87&gt;0,F83-E87,0)</f>
        <v>4617754.5644263877</v>
      </c>
      <c r="G87" s="47"/>
      <c r="I87" s="81">
        <f>L83*J87/12</f>
        <v>14219.467003303958</v>
      </c>
      <c r="J87" s="82">
        <f>$F$6</f>
        <v>4.1000000000000002E-2</v>
      </c>
      <c r="K87" s="81"/>
      <c r="L87" s="81">
        <f>MAX(L83+L83*($F$6/100)/12-I87-K87,0)</f>
        <v>4147717.9481459362</v>
      </c>
      <c r="M87" s="83">
        <f t="shared" ref="M87:M98" si="80">-PMT(($F$6/100)/12,$D$7-B87,L87,0,0)</f>
        <v>13943.1808494707</v>
      </c>
      <c r="N87" s="84"/>
      <c r="O87" s="72">
        <v>61</v>
      </c>
      <c r="P87" s="47" t="str">
        <f>IF(S83&gt;0.005,"January","")</f>
        <v/>
      </c>
      <c r="Q87" s="80">
        <f>IF(O87&lt;$S$7,"",IF(O87=$S$7,$Q$6*($S$6/12),S83*($S$6/12)))</f>
        <v>0</v>
      </c>
      <c r="R87" s="80">
        <f>IF(O87&lt;$S$7,"",$Q$8-Q87)</f>
        <v>0</v>
      </c>
      <c r="S87" s="80">
        <f>IF(O87&lt;$S$7,"",IF(O87=$S$7,$Q$6-R87,S83-R87))</f>
        <v>0</v>
      </c>
      <c r="T87" s="47"/>
      <c r="U87" s="84"/>
      <c r="V87" s="72">
        <v>61</v>
      </c>
      <c r="W87" s="47" t="e">
        <f>IF(Z83&gt;0.005,"January","")</f>
        <v>#NAME?</v>
      </c>
      <c r="X87" s="80" t="e">
        <f>IF(V87&lt;$Z$7,"",($Z$6/12)*$X$6)</f>
        <v>#NAME?</v>
      </c>
      <c r="Y87" s="80"/>
      <c r="Z87" s="80" t="e">
        <f>IF(V87&lt;$S$7,"",$X$6)</f>
        <v>#NAME?</v>
      </c>
      <c r="AA87" s="47"/>
      <c r="AB87" s="84"/>
      <c r="AC87" s="83"/>
      <c r="AD87" s="47" t="str">
        <f>IF(AG83&gt;0.005,"January","")</f>
        <v/>
      </c>
      <c r="AE87" s="80">
        <f>IF(AG83&gt;0,ROUND(AG83*($AG$6/1200),2),0)</f>
        <v>0</v>
      </c>
      <c r="AF87" s="80">
        <f>IF(AG83&lt;$AE$8,AG83,$AE$8-AE87)</f>
        <v>0</v>
      </c>
      <c r="AG87" s="80">
        <f>IF(AG83-AF87&gt;0,AG83-AF87,0)</f>
        <v>0</v>
      </c>
      <c r="AH87" s="47"/>
    </row>
    <row r="88" spans="2:34" x14ac:dyDescent="0.25">
      <c r="B88" s="72">
        <v>62</v>
      </c>
      <c r="C88" s="47" t="str">
        <f>IF(F87&gt;0.005,"February","")</f>
        <v>February</v>
      </c>
      <c r="D88" s="80">
        <f>IF(F87&gt;0,ROUND(F87*($F$6/12),2),0)</f>
        <v>15777.33</v>
      </c>
      <c r="E88" s="80">
        <f t="shared" ref="E88:E98" si="81">IF(F87&lt;$D$8,F87,$D$8-D88)</f>
        <v>8865.7869262268705</v>
      </c>
      <c r="F88" s="80">
        <f t="shared" ref="F88:F98" si="82">IF(F87-E88&gt;0,F87-E88,0)</f>
        <v>4608888.777500161</v>
      </c>
      <c r="G88" s="47"/>
      <c r="I88" s="81">
        <f t="shared" ref="I88:I98" si="83">L87*J88/12</f>
        <v>14171.369656165283</v>
      </c>
      <c r="J88" s="82">
        <f t="shared" ref="J88:J98" si="84">$F$6</f>
        <v>4.1000000000000002E-2</v>
      </c>
      <c r="K88" s="81"/>
      <c r="L88" s="81">
        <f t="shared" ref="L88:L98" si="85">MAX(L87+L87*($F$6/100)/12-I88-K88,0)</f>
        <v>4133688.2921863329</v>
      </c>
      <c r="M88" s="83">
        <f t="shared" si="80"/>
        <v>13942.411197298434</v>
      </c>
      <c r="N88" s="84"/>
      <c r="O88" s="72">
        <v>62</v>
      </c>
      <c r="P88" s="47" t="str">
        <f>IF(S87&gt;0.005,"February","")</f>
        <v/>
      </c>
      <c r="Q88" s="80">
        <f>IF(O88&lt;$S$7,"",IF(O88=$S$7,$Q$6*($S$6/12),S87*($S$6/12)))</f>
        <v>0</v>
      </c>
      <c r="R88" s="80">
        <f t="shared" ref="R88:R98" si="86">IF(O88&lt;$S$7,"",$Q$8-Q88)</f>
        <v>0</v>
      </c>
      <c r="S88" s="80">
        <f t="shared" ref="S88:S98" si="87">IF(O88&lt;$S$7,"",IF(O88=$S$7,$Q$6-R88,S87-R88))</f>
        <v>0</v>
      </c>
      <c r="T88" s="47"/>
      <c r="U88" s="84"/>
      <c r="V88" s="72">
        <v>62</v>
      </c>
      <c r="W88" s="47" t="e">
        <f>IF(Z87&gt;0.005,"February","")</f>
        <v>#NAME?</v>
      </c>
      <c r="X88" s="80" t="e">
        <f t="shared" ref="X88:X98" si="88">IF(V88&lt;$Z$7,"",($Z$6/12)*$X$6)</f>
        <v>#NAME?</v>
      </c>
      <c r="Y88" s="80"/>
      <c r="Z88" s="80" t="e">
        <f t="shared" ref="Z88:Z98" si="89">IF(V88&lt;$S$7,"",$X$6)</f>
        <v>#NAME?</v>
      </c>
      <c r="AA88" s="47"/>
      <c r="AB88" s="84"/>
      <c r="AC88" s="83"/>
      <c r="AD88" s="47" t="str">
        <f>IF(AG87&gt;0.005,"February","")</f>
        <v/>
      </c>
      <c r="AE88" s="80">
        <f t="shared" ref="AE88:AE98" si="90">IF(AG87&gt;0,ROUND(AG87*($AG$6/1200),2),0)</f>
        <v>0</v>
      </c>
      <c r="AF88" s="80">
        <f t="shared" ref="AF88:AF98" si="91">IF(AG87&lt;$AE$8,AG87,$AE$8-AE88)</f>
        <v>0</v>
      </c>
      <c r="AG88" s="80">
        <f t="shared" ref="AG88:AG98" si="92">IF(AG87-AF88&gt;0,AG87-AF88,0)</f>
        <v>0</v>
      </c>
      <c r="AH88" s="47"/>
    </row>
    <row r="89" spans="2:34" x14ac:dyDescent="0.25">
      <c r="B89" s="72">
        <v>63</v>
      </c>
      <c r="C89" s="47" t="str">
        <f>IF(F88&gt;0.005,"March","")</f>
        <v>March</v>
      </c>
      <c r="D89" s="80">
        <f t="shared" ref="D89:D97" si="93">IF(F88&gt;0,ROUND(F88*($F$6/12),2),0)</f>
        <v>15747.04</v>
      </c>
      <c r="E89" s="80">
        <f t="shared" si="81"/>
        <v>8896.0769262268695</v>
      </c>
      <c r="F89" s="80">
        <f t="shared" si="82"/>
        <v>4599992.7005739342</v>
      </c>
      <c r="G89" s="47"/>
      <c r="I89" s="81">
        <f t="shared" si="83"/>
        <v>14123.434998303304</v>
      </c>
      <c r="J89" s="82">
        <f t="shared" si="84"/>
        <v>4.1000000000000002E-2</v>
      </c>
      <c r="K89" s="81"/>
      <c r="L89" s="81">
        <f t="shared" si="85"/>
        <v>4119706.0915380125</v>
      </c>
      <c r="M89" s="83">
        <f t="shared" si="80"/>
        <v>13941.798581418567</v>
      </c>
      <c r="N89" s="84"/>
      <c r="O89" s="72">
        <v>63</v>
      </c>
      <c r="P89" s="47" t="str">
        <f>IF(S88&gt;0.005,"March","")</f>
        <v/>
      </c>
      <c r="Q89" s="80">
        <f t="shared" ref="Q89:Q98" si="94">IF(O89&lt;$S$7,"",IF(O89=$S$7,$Q$6*($S$6/12),S88*($S$6/12)))</f>
        <v>0</v>
      </c>
      <c r="R89" s="80">
        <f t="shared" si="86"/>
        <v>0</v>
      </c>
      <c r="S89" s="80">
        <f t="shared" si="87"/>
        <v>0</v>
      </c>
      <c r="T89" s="47"/>
      <c r="U89" s="84"/>
      <c r="V89" s="72">
        <v>63</v>
      </c>
      <c r="W89" s="47" t="e">
        <f>IF(Z88&gt;0.005,"March","")</f>
        <v>#NAME?</v>
      </c>
      <c r="X89" s="80" t="e">
        <f t="shared" si="88"/>
        <v>#NAME?</v>
      </c>
      <c r="Y89" s="80"/>
      <c r="Z89" s="80" t="e">
        <f t="shared" si="89"/>
        <v>#NAME?</v>
      </c>
      <c r="AA89" s="47"/>
      <c r="AB89" s="84"/>
      <c r="AC89" s="83"/>
      <c r="AD89" s="47" t="str">
        <f>IF(AG88&gt;0.005,"March","")</f>
        <v/>
      </c>
      <c r="AE89" s="80">
        <f t="shared" si="90"/>
        <v>0</v>
      </c>
      <c r="AF89" s="80">
        <f t="shared" si="91"/>
        <v>0</v>
      </c>
      <c r="AG89" s="80">
        <f t="shared" si="92"/>
        <v>0</v>
      </c>
      <c r="AH89" s="47"/>
    </row>
    <row r="90" spans="2:34" x14ac:dyDescent="0.25">
      <c r="B90" s="72">
        <v>64</v>
      </c>
      <c r="C90" s="47" t="str">
        <f>IF(F89&gt;0.005,"April","")</f>
        <v>April</v>
      </c>
      <c r="D90" s="80">
        <f t="shared" si="93"/>
        <v>15716.64</v>
      </c>
      <c r="E90" s="80">
        <f t="shared" si="81"/>
        <v>8926.476926226871</v>
      </c>
      <c r="F90" s="80">
        <f t="shared" si="82"/>
        <v>4591066.2236477071</v>
      </c>
      <c r="G90" s="47"/>
      <c r="I90" s="81">
        <f t="shared" si="83"/>
        <v>14075.662479421544</v>
      </c>
      <c r="J90" s="82">
        <f t="shared" si="84"/>
        <v>4.1000000000000002E-2</v>
      </c>
      <c r="K90" s="81"/>
      <c r="L90" s="81">
        <f t="shared" si="85"/>
        <v>4105771.185683385</v>
      </c>
      <c r="M90" s="83">
        <f t="shared" si="80"/>
        <v>13941.344040098018</v>
      </c>
      <c r="N90" s="84"/>
      <c r="O90" s="72">
        <v>64</v>
      </c>
      <c r="P90" s="47" t="str">
        <f>IF(S89&gt;0.005,"April","")</f>
        <v/>
      </c>
      <c r="Q90" s="80">
        <f t="shared" si="94"/>
        <v>0</v>
      </c>
      <c r="R90" s="80">
        <f t="shared" si="86"/>
        <v>0</v>
      </c>
      <c r="S90" s="80">
        <f t="shared" si="87"/>
        <v>0</v>
      </c>
      <c r="T90" s="47"/>
      <c r="U90" s="84"/>
      <c r="V90" s="72">
        <v>64</v>
      </c>
      <c r="W90" s="47" t="e">
        <f>IF(Z89&gt;0.005,"April","")</f>
        <v>#NAME?</v>
      </c>
      <c r="X90" s="80" t="e">
        <f t="shared" si="88"/>
        <v>#NAME?</v>
      </c>
      <c r="Y90" s="80"/>
      <c r="Z90" s="80" t="e">
        <f t="shared" si="89"/>
        <v>#NAME?</v>
      </c>
      <c r="AA90" s="47"/>
      <c r="AB90" s="84"/>
      <c r="AC90" s="83"/>
      <c r="AD90" s="47" t="str">
        <f>IF(AG89&gt;0.005,"April","")</f>
        <v/>
      </c>
      <c r="AE90" s="80">
        <f t="shared" si="90"/>
        <v>0</v>
      </c>
      <c r="AF90" s="80">
        <f t="shared" si="91"/>
        <v>0</v>
      </c>
      <c r="AG90" s="80">
        <f t="shared" si="92"/>
        <v>0</v>
      </c>
      <c r="AH90" s="47"/>
    </row>
    <row r="91" spans="2:34" x14ac:dyDescent="0.25">
      <c r="B91" s="72">
        <v>65</v>
      </c>
      <c r="C91" s="47" t="str">
        <f>IF(F90&gt;0.005,"May","")</f>
        <v>May</v>
      </c>
      <c r="D91" s="80">
        <f t="shared" si="93"/>
        <v>15686.14</v>
      </c>
      <c r="E91" s="80">
        <f t="shared" si="81"/>
        <v>8956.976926226871</v>
      </c>
      <c r="F91" s="80">
        <f t="shared" si="82"/>
        <v>4582109.24672148</v>
      </c>
      <c r="G91" s="47"/>
      <c r="I91" s="81">
        <f t="shared" si="83"/>
        <v>14028.0515510849</v>
      </c>
      <c r="J91" s="82">
        <f t="shared" si="84"/>
        <v>4.1000000000000002E-2</v>
      </c>
      <c r="K91" s="81"/>
      <c r="L91" s="81">
        <f t="shared" si="85"/>
        <v>4091883.4146478111</v>
      </c>
      <c r="M91" s="83">
        <f t="shared" si="80"/>
        <v>13941.048627569226</v>
      </c>
      <c r="N91" s="84"/>
      <c r="O91" s="72">
        <v>65</v>
      </c>
      <c r="P91" s="47" t="str">
        <f>IF(S90&gt;0.005,"May","")</f>
        <v/>
      </c>
      <c r="Q91" s="80">
        <f t="shared" si="94"/>
        <v>0</v>
      </c>
      <c r="R91" s="80">
        <f t="shared" si="86"/>
        <v>0</v>
      </c>
      <c r="S91" s="80">
        <f t="shared" si="87"/>
        <v>0</v>
      </c>
      <c r="T91" s="47"/>
      <c r="U91" s="84"/>
      <c r="V91" s="72">
        <v>65</v>
      </c>
      <c r="W91" s="47" t="e">
        <f>IF(Z90&gt;0.005,"May","")</f>
        <v>#NAME?</v>
      </c>
      <c r="X91" s="80" t="e">
        <f t="shared" si="88"/>
        <v>#NAME?</v>
      </c>
      <c r="Y91" s="80"/>
      <c r="Z91" s="80" t="e">
        <f t="shared" si="89"/>
        <v>#NAME?</v>
      </c>
      <c r="AA91" s="47"/>
      <c r="AB91" s="84"/>
      <c r="AC91" s="83"/>
      <c r="AD91" s="47" t="str">
        <f>IF(AG90&gt;0.005,"May","")</f>
        <v/>
      </c>
      <c r="AE91" s="80">
        <f t="shared" si="90"/>
        <v>0</v>
      </c>
      <c r="AF91" s="80">
        <f t="shared" si="91"/>
        <v>0</v>
      </c>
      <c r="AG91" s="80">
        <f t="shared" si="92"/>
        <v>0</v>
      </c>
      <c r="AH91" s="47"/>
    </row>
    <row r="92" spans="2:34" x14ac:dyDescent="0.25">
      <c r="B92" s="72">
        <v>66</v>
      </c>
      <c r="C92" s="47" t="str">
        <f>IF(F91&gt;0.005,"June","")</f>
        <v>June</v>
      </c>
      <c r="D92" s="80">
        <f t="shared" si="93"/>
        <v>15655.54</v>
      </c>
      <c r="E92" s="80">
        <f t="shared" si="81"/>
        <v>8987.5769262268695</v>
      </c>
      <c r="F92" s="80">
        <f t="shared" si="82"/>
        <v>4573121.6697952533</v>
      </c>
      <c r="G92" s="47"/>
      <c r="I92" s="81">
        <f t="shared" si="83"/>
        <v>13980.601666713354</v>
      </c>
      <c r="J92" s="82">
        <f t="shared" si="84"/>
        <v>4.1000000000000002E-2</v>
      </c>
      <c r="K92" s="81"/>
      <c r="L92" s="81">
        <f t="shared" si="85"/>
        <v>4078042.6189977652</v>
      </c>
      <c r="M92" s="83">
        <f t="shared" si="80"/>
        <v>13940.913414295237</v>
      </c>
      <c r="N92" s="84"/>
      <c r="O92" s="72">
        <v>66</v>
      </c>
      <c r="P92" s="47" t="str">
        <f>IF(S91&gt;0.005,"June","")</f>
        <v/>
      </c>
      <c r="Q92" s="80">
        <f t="shared" si="94"/>
        <v>0</v>
      </c>
      <c r="R92" s="80">
        <f t="shared" si="86"/>
        <v>0</v>
      </c>
      <c r="S92" s="80">
        <f t="shared" si="87"/>
        <v>0</v>
      </c>
      <c r="T92" s="47"/>
      <c r="U92" s="84"/>
      <c r="V92" s="72">
        <v>66</v>
      </c>
      <c r="W92" s="47" t="e">
        <f>IF(Z91&gt;0.005,"June","")</f>
        <v>#NAME?</v>
      </c>
      <c r="X92" s="80" t="e">
        <f t="shared" si="88"/>
        <v>#NAME?</v>
      </c>
      <c r="Y92" s="80"/>
      <c r="Z92" s="80" t="e">
        <f t="shared" si="89"/>
        <v>#NAME?</v>
      </c>
      <c r="AA92" s="47"/>
      <c r="AB92" s="84"/>
      <c r="AC92" s="83"/>
      <c r="AD92" s="47" t="str">
        <f>IF(AG91&gt;0.005,"June","")</f>
        <v/>
      </c>
      <c r="AE92" s="80">
        <f t="shared" si="90"/>
        <v>0</v>
      </c>
      <c r="AF92" s="80">
        <f t="shared" si="91"/>
        <v>0</v>
      </c>
      <c r="AG92" s="80">
        <f t="shared" si="92"/>
        <v>0</v>
      </c>
      <c r="AH92" s="47"/>
    </row>
    <row r="93" spans="2:34" x14ac:dyDescent="0.25">
      <c r="B93" s="72">
        <v>67</v>
      </c>
      <c r="C93" s="47" t="str">
        <f>IF(F92&gt;0.005,"July","")</f>
        <v>July</v>
      </c>
      <c r="D93" s="80">
        <f t="shared" si="93"/>
        <v>15624.83</v>
      </c>
      <c r="E93" s="80">
        <f t="shared" si="81"/>
        <v>9018.2869262268705</v>
      </c>
      <c r="F93" s="80">
        <f t="shared" si="82"/>
        <v>4564103.3828690266</v>
      </c>
      <c r="G93" s="47"/>
      <c r="I93" s="81">
        <f t="shared" si="83"/>
        <v>13933.3122815757</v>
      </c>
      <c r="J93" s="82">
        <f t="shared" si="84"/>
        <v>4.1000000000000002E-2</v>
      </c>
      <c r="K93" s="81"/>
      <c r="L93" s="81">
        <f t="shared" si="85"/>
        <v>4064248.6398390057</v>
      </c>
      <c r="M93" s="83">
        <f t="shared" si="80"/>
        <v>13940.939487240246</v>
      </c>
      <c r="N93" s="84"/>
      <c r="O93" s="72">
        <v>67</v>
      </c>
      <c r="P93" s="47" t="str">
        <f>IF(S92&gt;0.005,"July","")</f>
        <v/>
      </c>
      <c r="Q93" s="80">
        <f t="shared" si="94"/>
        <v>0</v>
      </c>
      <c r="R93" s="80">
        <f t="shared" si="86"/>
        <v>0</v>
      </c>
      <c r="S93" s="80">
        <f t="shared" si="87"/>
        <v>0</v>
      </c>
      <c r="T93" s="47"/>
      <c r="U93" s="84"/>
      <c r="V93" s="72">
        <v>67</v>
      </c>
      <c r="W93" s="47" t="e">
        <f>IF(Z92&gt;0.005,"July","")</f>
        <v>#NAME?</v>
      </c>
      <c r="X93" s="80" t="e">
        <f t="shared" si="88"/>
        <v>#NAME?</v>
      </c>
      <c r="Y93" s="80"/>
      <c r="Z93" s="80" t="e">
        <f t="shared" si="89"/>
        <v>#NAME?</v>
      </c>
      <c r="AA93" s="47"/>
      <c r="AB93" s="84"/>
      <c r="AC93" s="83"/>
      <c r="AD93" s="47" t="str">
        <f>IF(AG92&gt;0.005,"July","")</f>
        <v/>
      </c>
      <c r="AE93" s="80">
        <f t="shared" si="90"/>
        <v>0</v>
      </c>
      <c r="AF93" s="80">
        <f t="shared" si="91"/>
        <v>0</v>
      </c>
      <c r="AG93" s="80">
        <f t="shared" si="92"/>
        <v>0</v>
      </c>
      <c r="AH93" s="47"/>
    </row>
    <row r="94" spans="2:34" x14ac:dyDescent="0.25">
      <c r="B94" s="72">
        <v>68</v>
      </c>
      <c r="C94" s="47" t="str">
        <f>IF(F93&gt;0.005,"August","")</f>
        <v>August</v>
      </c>
      <c r="D94" s="80">
        <f t="shared" si="93"/>
        <v>15594.02</v>
      </c>
      <c r="E94" s="80">
        <f t="shared" si="81"/>
        <v>9049.09692622687</v>
      </c>
      <c r="F94" s="80">
        <f t="shared" si="82"/>
        <v>4555054.2859427994</v>
      </c>
      <c r="G94" s="47"/>
      <c r="I94" s="81">
        <f t="shared" si="83"/>
        <v>13886.182852783269</v>
      </c>
      <c r="J94" s="82">
        <f t="shared" si="84"/>
        <v>4.1000000000000002E-2</v>
      </c>
      <c r="K94" s="81"/>
      <c r="L94" s="81">
        <f t="shared" si="85"/>
        <v>4050501.3188147503</v>
      </c>
      <c r="M94" s="83">
        <f t="shared" si="80"/>
        <v>13941.127950145697</v>
      </c>
      <c r="N94" s="84"/>
      <c r="O94" s="72">
        <v>68</v>
      </c>
      <c r="P94" s="47" t="str">
        <f>IF(S93&gt;0.005,"August","")</f>
        <v/>
      </c>
      <c r="Q94" s="80">
        <f t="shared" si="94"/>
        <v>0</v>
      </c>
      <c r="R94" s="80">
        <f t="shared" si="86"/>
        <v>0</v>
      </c>
      <c r="S94" s="80">
        <f t="shared" si="87"/>
        <v>0</v>
      </c>
      <c r="T94" s="47"/>
      <c r="U94" s="84"/>
      <c r="V94" s="72">
        <v>68</v>
      </c>
      <c r="W94" s="47" t="e">
        <f>IF(Z93&gt;0.005,"August","")</f>
        <v>#NAME?</v>
      </c>
      <c r="X94" s="80" t="e">
        <f t="shared" si="88"/>
        <v>#NAME?</v>
      </c>
      <c r="Y94" s="80"/>
      <c r="Z94" s="80" t="e">
        <f t="shared" si="89"/>
        <v>#NAME?</v>
      </c>
      <c r="AA94" s="47"/>
      <c r="AB94" s="84"/>
      <c r="AC94" s="83"/>
      <c r="AD94" s="47" t="str">
        <f>IF(AG93&gt;0.005,"August","")</f>
        <v/>
      </c>
      <c r="AE94" s="80">
        <f t="shared" si="90"/>
        <v>0</v>
      </c>
      <c r="AF94" s="80">
        <f t="shared" si="91"/>
        <v>0</v>
      </c>
      <c r="AG94" s="80">
        <f t="shared" si="92"/>
        <v>0</v>
      </c>
      <c r="AH94" s="47"/>
    </row>
    <row r="95" spans="2:34" x14ac:dyDescent="0.25">
      <c r="B95" s="72">
        <v>69</v>
      </c>
      <c r="C95" s="47" t="str">
        <f>IF(F94&gt;0.005,"September","")</f>
        <v>September</v>
      </c>
      <c r="D95" s="80">
        <f t="shared" si="93"/>
        <v>15563.1</v>
      </c>
      <c r="E95" s="80">
        <f t="shared" si="81"/>
        <v>9080.0169262268701</v>
      </c>
      <c r="F95" s="80">
        <f t="shared" si="82"/>
        <v>4545974.2690165723</v>
      </c>
      <c r="G95" s="47"/>
      <c r="I95" s="81">
        <f t="shared" si="83"/>
        <v>13839.212839283731</v>
      </c>
      <c r="J95" s="82">
        <f t="shared" si="84"/>
        <v>4.1000000000000002E-2</v>
      </c>
      <c r="K95" s="81"/>
      <c r="L95" s="81">
        <f t="shared" si="85"/>
        <v>4036800.4981038598</v>
      </c>
      <c r="M95" s="83">
        <f t="shared" si="80"/>
        <v>13941.479923812143</v>
      </c>
      <c r="N95" s="84"/>
      <c r="O95" s="72">
        <v>69</v>
      </c>
      <c r="P95" s="47" t="str">
        <f>IF(S94&gt;0.005,"September","")</f>
        <v/>
      </c>
      <c r="Q95" s="80">
        <f t="shared" si="94"/>
        <v>0</v>
      </c>
      <c r="R95" s="80">
        <f t="shared" si="86"/>
        <v>0</v>
      </c>
      <c r="S95" s="80">
        <f t="shared" si="87"/>
        <v>0</v>
      </c>
      <c r="T95" s="47"/>
      <c r="U95" s="84"/>
      <c r="V95" s="72">
        <v>69</v>
      </c>
      <c r="W95" s="47" t="e">
        <f>IF(Z94&gt;0.005,"September","")</f>
        <v>#NAME?</v>
      </c>
      <c r="X95" s="80" t="e">
        <f t="shared" si="88"/>
        <v>#NAME?</v>
      </c>
      <c r="Y95" s="80"/>
      <c r="Z95" s="80" t="e">
        <f t="shared" si="89"/>
        <v>#NAME?</v>
      </c>
      <c r="AA95" s="47"/>
      <c r="AB95" s="84"/>
      <c r="AC95" s="83"/>
      <c r="AD95" s="47" t="str">
        <f>IF(AG94&gt;0.005,"September","")</f>
        <v/>
      </c>
      <c r="AE95" s="80">
        <f t="shared" si="90"/>
        <v>0</v>
      </c>
      <c r="AF95" s="80">
        <f t="shared" si="91"/>
        <v>0</v>
      </c>
      <c r="AG95" s="80">
        <f t="shared" si="92"/>
        <v>0</v>
      </c>
      <c r="AH95" s="47"/>
    </row>
    <row r="96" spans="2:34" x14ac:dyDescent="0.25">
      <c r="B96" s="72">
        <v>70</v>
      </c>
      <c r="C96" s="47" t="str">
        <f>IF(F95&gt;0.005,"October","")</f>
        <v>October</v>
      </c>
      <c r="D96" s="80">
        <f t="shared" si="93"/>
        <v>15532.08</v>
      </c>
      <c r="E96" s="80">
        <f t="shared" si="81"/>
        <v>9111.0369262268705</v>
      </c>
      <c r="F96" s="80">
        <f t="shared" si="82"/>
        <v>4536863.2320903456</v>
      </c>
      <c r="G96" s="47"/>
      <c r="I96" s="81">
        <f t="shared" si="83"/>
        <v>13792.401701854855</v>
      </c>
      <c r="J96" s="82">
        <f t="shared" si="84"/>
        <v>4.1000000000000002E-2</v>
      </c>
      <c r="K96" s="81"/>
      <c r="L96" s="81">
        <f t="shared" si="85"/>
        <v>4023146.0204190235</v>
      </c>
      <c r="M96" s="83">
        <f t="shared" si="80"/>
        <v>13941.996546386894</v>
      </c>
      <c r="N96" s="84"/>
      <c r="O96" s="72">
        <v>70</v>
      </c>
      <c r="P96" s="47" t="str">
        <f>IF(S95&gt;0.005,"October","")</f>
        <v/>
      </c>
      <c r="Q96" s="80">
        <f t="shared" si="94"/>
        <v>0</v>
      </c>
      <c r="R96" s="80">
        <f t="shared" si="86"/>
        <v>0</v>
      </c>
      <c r="S96" s="80">
        <f t="shared" si="87"/>
        <v>0</v>
      </c>
      <c r="T96" s="47"/>
      <c r="U96" s="84"/>
      <c r="V96" s="72">
        <v>70</v>
      </c>
      <c r="W96" s="47" t="e">
        <f>IF(Z95&gt;0.005,"October","")</f>
        <v>#NAME?</v>
      </c>
      <c r="X96" s="80" t="e">
        <f t="shared" si="88"/>
        <v>#NAME?</v>
      </c>
      <c r="Y96" s="80"/>
      <c r="Z96" s="80" t="e">
        <f t="shared" si="89"/>
        <v>#NAME?</v>
      </c>
      <c r="AA96" s="47"/>
      <c r="AB96" s="84"/>
      <c r="AC96" s="83"/>
      <c r="AD96" s="47" t="str">
        <f>IF(AG95&gt;0.005,"October","")</f>
        <v/>
      </c>
      <c r="AE96" s="80">
        <f t="shared" si="90"/>
        <v>0</v>
      </c>
      <c r="AF96" s="80">
        <f t="shared" si="91"/>
        <v>0</v>
      </c>
      <c r="AG96" s="80">
        <f t="shared" si="92"/>
        <v>0</v>
      </c>
      <c r="AH96" s="47"/>
    </row>
    <row r="97" spans="2:34" x14ac:dyDescent="0.25">
      <c r="B97" s="72">
        <v>71</v>
      </c>
      <c r="C97" s="47" t="str">
        <f>IF(F96&gt;0.005,"November","")</f>
        <v>November</v>
      </c>
      <c r="D97" s="80">
        <f t="shared" si="93"/>
        <v>15500.95</v>
      </c>
      <c r="E97" s="80">
        <f t="shared" si="81"/>
        <v>9142.1669262268697</v>
      </c>
      <c r="F97" s="80">
        <f t="shared" si="82"/>
        <v>4527721.065164119</v>
      </c>
      <c r="G97" s="47"/>
      <c r="I97" s="81">
        <f t="shared" si="83"/>
        <v>13745.748903098332</v>
      </c>
      <c r="J97" s="82">
        <f t="shared" si="84"/>
        <v>4.1000000000000002E-2</v>
      </c>
      <c r="K97" s="81"/>
      <c r="L97" s="81">
        <f t="shared" si="85"/>
        <v>4009537.7290049559</v>
      </c>
      <c r="M97" s="83">
        <f t="shared" si="80"/>
        <v>13942.678973657725</v>
      </c>
      <c r="N97" s="84"/>
      <c r="O97" s="72">
        <v>71</v>
      </c>
      <c r="P97" s="47" t="str">
        <f>IF(S96&gt;0.005,"November","")</f>
        <v/>
      </c>
      <c r="Q97" s="80">
        <f t="shared" si="94"/>
        <v>0</v>
      </c>
      <c r="R97" s="80">
        <f t="shared" si="86"/>
        <v>0</v>
      </c>
      <c r="S97" s="80">
        <f t="shared" si="87"/>
        <v>0</v>
      </c>
      <c r="T97" s="47"/>
      <c r="U97" s="84"/>
      <c r="V97" s="72">
        <v>71</v>
      </c>
      <c r="W97" s="47" t="e">
        <f>IF(Z96&gt;0.005,"November","")</f>
        <v>#NAME?</v>
      </c>
      <c r="X97" s="80" t="e">
        <f t="shared" si="88"/>
        <v>#NAME?</v>
      </c>
      <c r="Y97" s="80"/>
      <c r="Z97" s="80" t="e">
        <f t="shared" si="89"/>
        <v>#NAME?</v>
      </c>
      <c r="AA97" s="47"/>
      <c r="AB97" s="84"/>
      <c r="AC97" s="83"/>
      <c r="AD97" s="47" t="str">
        <f>IF(AG96&gt;0.005,"November","")</f>
        <v/>
      </c>
      <c r="AE97" s="80">
        <f t="shared" si="90"/>
        <v>0</v>
      </c>
      <c r="AF97" s="80">
        <f t="shared" si="91"/>
        <v>0</v>
      </c>
      <c r="AG97" s="80">
        <f t="shared" si="92"/>
        <v>0</v>
      </c>
      <c r="AH97" s="47"/>
    </row>
    <row r="98" spans="2:34" x14ac:dyDescent="0.25">
      <c r="B98" s="72">
        <v>72</v>
      </c>
      <c r="C98" s="47" t="str">
        <f>IF(F97&gt;0.005,"December","")</f>
        <v>December</v>
      </c>
      <c r="D98" s="80">
        <f>IF(F97&gt;0,ROUND(F97*($F$6/12),2),0)</f>
        <v>15469.71</v>
      </c>
      <c r="E98" s="80">
        <f t="shared" si="81"/>
        <v>9173.4069262268713</v>
      </c>
      <c r="F98" s="80">
        <f t="shared" si="82"/>
        <v>4518547.6582378922</v>
      </c>
      <c r="G98" s="47"/>
      <c r="I98" s="81">
        <f t="shared" si="83"/>
        <v>13699.2539074336</v>
      </c>
      <c r="J98" s="82">
        <f t="shared" si="84"/>
        <v>4.1000000000000002E-2</v>
      </c>
      <c r="K98" s="81"/>
      <c r="L98" s="81">
        <f t="shared" si="85"/>
        <v>3995975.4676365964</v>
      </c>
      <c r="M98" s="83">
        <f t="shared" si="80"/>
        <v>13943.528379352689</v>
      </c>
      <c r="N98" s="84"/>
      <c r="O98" s="72">
        <v>72</v>
      </c>
      <c r="P98" s="47" t="str">
        <f>IF(S97&gt;0.005,"December","")</f>
        <v/>
      </c>
      <c r="Q98" s="80">
        <f t="shared" si="94"/>
        <v>0</v>
      </c>
      <c r="R98" s="80">
        <f t="shared" si="86"/>
        <v>0</v>
      </c>
      <c r="S98" s="80">
        <f t="shared" si="87"/>
        <v>0</v>
      </c>
      <c r="T98" s="47"/>
      <c r="U98" s="84"/>
      <c r="V98" s="72">
        <v>72</v>
      </c>
      <c r="W98" s="47" t="e">
        <f>IF(Z97&gt;0.005,"December","")</f>
        <v>#NAME?</v>
      </c>
      <c r="X98" s="80" t="e">
        <f t="shared" si="88"/>
        <v>#NAME?</v>
      </c>
      <c r="Y98" s="80"/>
      <c r="Z98" s="80" t="e">
        <f t="shared" si="89"/>
        <v>#NAME?</v>
      </c>
      <c r="AA98" s="47"/>
      <c r="AB98" s="84"/>
      <c r="AC98" s="83"/>
      <c r="AD98" s="47" t="str">
        <f>IF(AG97&gt;0.005,"December","")</f>
        <v/>
      </c>
      <c r="AE98" s="80">
        <f t="shared" si="90"/>
        <v>0</v>
      </c>
      <c r="AF98" s="80">
        <f t="shared" si="91"/>
        <v>0</v>
      </c>
      <c r="AG98" s="80">
        <f t="shared" si="92"/>
        <v>0</v>
      </c>
      <c r="AH98" s="47"/>
    </row>
    <row r="99" spans="2:34" x14ac:dyDescent="0.25">
      <c r="B99" s="46"/>
      <c r="C99" s="85" t="str">
        <f>"Total "&amp;YEAR($C$9)+5</f>
        <v>Total 2024</v>
      </c>
      <c r="D99" s="86">
        <f>SUM(D87:D98)</f>
        <v>187674.9</v>
      </c>
      <c r="E99" s="86">
        <f>SUM(E87:E98)</f>
        <v>108042.50311472245</v>
      </c>
      <c r="F99" s="87"/>
      <c r="G99" s="47"/>
      <c r="I99" s="86">
        <f>SUM(I87:I98)</f>
        <v>167494.69984102182</v>
      </c>
      <c r="J99" s="46"/>
      <c r="K99" s="86">
        <f>SUM(K87:K98)</f>
        <v>0</v>
      </c>
      <c r="L99" s="46"/>
      <c r="M99" s="46"/>
      <c r="O99" s="46"/>
      <c r="P99" s="85" t="str">
        <f>"Total "&amp;YEAR($C$9)+5</f>
        <v>Total 2024</v>
      </c>
      <c r="Q99" s="86">
        <f>SUM(Q87:Q98)</f>
        <v>0</v>
      </c>
      <c r="R99" s="86">
        <f>SUM(R87:R98)</f>
        <v>0</v>
      </c>
      <c r="S99" s="87"/>
      <c r="T99" s="47"/>
      <c r="V99" s="46"/>
      <c r="W99" s="85" t="str">
        <f>"Total "&amp;YEAR($C$9)+5</f>
        <v>Total 2024</v>
      </c>
      <c r="X99" s="86" t="e">
        <f>SUM(X87:X98)</f>
        <v>#NAME?</v>
      </c>
      <c r="Y99" s="86">
        <f>SUM(Y87:Y98)</f>
        <v>0</v>
      </c>
      <c r="Z99" s="87"/>
      <c r="AA99" s="47"/>
      <c r="AC99" s="46"/>
      <c r="AD99" s="85" t="str">
        <f>"Total "&amp;YEAR($C$9)+5</f>
        <v>Total 2024</v>
      </c>
      <c r="AE99" s="86">
        <f>SUM(AE87:AE98)</f>
        <v>0</v>
      </c>
      <c r="AF99" s="86">
        <f>SUM(AF87:AF98)</f>
        <v>0</v>
      </c>
      <c r="AG99" s="87"/>
      <c r="AH99" s="47"/>
    </row>
    <row r="100" spans="2:34" x14ac:dyDescent="0.25">
      <c r="B100" s="46"/>
      <c r="C100" s="47"/>
      <c r="D100" s="80"/>
      <c r="E100" s="80"/>
      <c r="F100" s="80"/>
      <c r="G100" s="47"/>
      <c r="I100" s="46"/>
      <c r="J100" s="46"/>
      <c r="K100" s="46"/>
      <c r="L100" s="46"/>
      <c r="M100" s="46"/>
      <c r="O100" s="46"/>
      <c r="P100" s="47"/>
      <c r="Q100" s="80"/>
      <c r="R100" s="80"/>
      <c r="S100" s="80"/>
      <c r="T100" s="47"/>
      <c r="V100" s="46"/>
      <c r="W100" s="47"/>
      <c r="X100" s="80"/>
      <c r="Y100" s="80"/>
      <c r="Z100" s="80"/>
      <c r="AA100" s="47"/>
      <c r="AC100" s="46"/>
      <c r="AD100" s="47"/>
      <c r="AE100" s="80"/>
      <c r="AF100" s="80"/>
      <c r="AG100" s="80"/>
      <c r="AH100" s="47"/>
    </row>
    <row r="101" spans="2:34" x14ac:dyDescent="0.25">
      <c r="B101" s="46"/>
      <c r="C101" s="47"/>
      <c r="D101" s="75" t="s">
        <v>62</v>
      </c>
      <c r="E101" s="75" t="s">
        <v>63</v>
      </c>
      <c r="F101" s="75" t="s">
        <v>64</v>
      </c>
      <c r="G101" s="47"/>
      <c r="I101" s="46"/>
      <c r="J101" s="46"/>
      <c r="K101" s="46"/>
      <c r="L101" s="46"/>
      <c r="M101" s="46"/>
      <c r="O101" s="46"/>
      <c r="P101" s="47"/>
      <c r="Q101" s="75" t="s">
        <v>62</v>
      </c>
      <c r="R101" s="75" t="s">
        <v>63</v>
      </c>
      <c r="S101" s="75" t="s">
        <v>64</v>
      </c>
      <c r="T101" s="47"/>
      <c r="V101" s="46"/>
      <c r="W101" s="47"/>
      <c r="X101" s="75" t="s">
        <v>62</v>
      </c>
      <c r="Y101" s="75" t="s">
        <v>63</v>
      </c>
      <c r="Z101" s="75" t="s">
        <v>64</v>
      </c>
      <c r="AA101" s="47"/>
      <c r="AC101" s="46"/>
      <c r="AD101" s="47"/>
      <c r="AE101" s="75" t="s">
        <v>62</v>
      </c>
      <c r="AF101" s="75" t="s">
        <v>63</v>
      </c>
      <c r="AG101" s="75" t="s">
        <v>64</v>
      </c>
      <c r="AH101" s="47"/>
    </row>
    <row r="102" spans="2:34" x14ac:dyDescent="0.25">
      <c r="B102" s="72">
        <v>73</v>
      </c>
      <c r="C102" s="47" t="str">
        <f>IF(F98&gt;0.005,"January","")</f>
        <v>January</v>
      </c>
      <c r="D102" s="80">
        <f>IF(F98&gt;0,ROUND(F98*($F$6/12),2),0)</f>
        <v>15438.37</v>
      </c>
      <c r="E102" s="80">
        <f>IF(F98&lt;$D$8,F98,$D$8-D102)</f>
        <v>9204.7469262268696</v>
      </c>
      <c r="F102" s="80">
        <f>IF(F98-E102&gt;0,F98-E102,0)</f>
        <v>4509342.9113116655</v>
      </c>
      <c r="G102" s="47"/>
      <c r="I102" s="81">
        <f>L98*J102/12</f>
        <v>13652.916181091705</v>
      </c>
      <c r="J102" s="82">
        <f>$F$6</f>
        <v>4.1000000000000002E-2</v>
      </c>
      <c r="K102" s="81"/>
      <c r="L102" s="81">
        <f>MAX(L98+L98*($F$6/100)/12-I102-K102,0)</f>
        <v>3982459.0806173156</v>
      </c>
      <c r="M102" s="83">
        <f t="shared" ref="M102:M113" si="95">-PMT(($F$6/100)/12,$D$7-B102,L102,0,0)</f>
        <v>13944.54595544621</v>
      </c>
      <c r="N102" s="84"/>
      <c r="O102" s="72">
        <v>73</v>
      </c>
      <c r="P102" s="47" t="str">
        <f>IF(S98&gt;0.005,"January","")</f>
        <v/>
      </c>
      <c r="Q102" s="80">
        <f>IF(O102&lt;$S$7,"",IF(O102=$S$7,$Q$6*($S$6/12),S98*($S$6/12)))</f>
        <v>0</v>
      </c>
      <c r="R102" s="80">
        <f>IF(O102&lt;$S$7,"",$Q$8-Q102)</f>
        <v>0</v>
      </c>
      <c r="S102" s="80">
        <f>IF(O102&lt;$S$7,"",IF(O102=$S$7,$Q$6-R102,S98-R102))</f>
        <v>0</v>
      </c>
      <c r="T102" s="47"/>
      <c r="U102" s="84"/>
      <c r="V102" s="72">
        <v>73</v>
      </c>
      <c r="W102" s="47" t="e">
        <f>IF(Z98&gt;0.005,"January","")</f>
        <v>#NAME?</v>
      </c>
      <c r="X102" s="80" t="e">
        <f>IF(V102&lt;$Z$7,"",($Z$6/12)*$X$6)</f>
        <v>#NAME?</v>
      </c>
      <c r="Y102" s="80"/>
      <c r="Z102" s="80" t="e">
        <f>IF(V102&lt;$S$7,"",$X$6)</f>
        <v>#NAME?</v>
      </c>
      <c r="AA102" s="47"/>
      <c r="AB102" s="84"/>
      <c r="AC102" s="83"/>
      <c r="AD102" s="47" t="str">
        <f>IF(AG98&gt;0.005,"January","")</f>
        <v/>
      </c>
      <c r="AE102" s="80">
        <f>IF(AG98&gt;0,ROUND(AG98*($AG$6/1200),2),0)</f>
        <v>0</v>
      </c>
      <c r="AF102" s="80">
        <f>IF(AG98&lt;$AE$8,AG98,$AE$8-AE102)</f>
        <v>0</v>
      </c>
      <c r="AG102" s="80">
        <f>IF(AG98-AF102&gt;0,AG98-AF102,0)</f>
        <v>0</v>
      </c>
      <c r="AH102" s="47"/>
    </row>
    <row r="103" spans="2:34" x14ac:dyDescent="0.25">
      <c r="B103" s="72">
        <v>74</v>
      </c>
      <c r="C103" s="47" t="str">
        <f>IF(F102&gt;0.005,"February","")</f>
        <v>February</v>
      </c>
      <c r="D103" s="80">
        <f>IF(F102&gt;0,ROUND(F102*($F$6/12),2),0)</f>
        <v>15406.92</v>
      </c>
      <c r="E103" s="80">
        <f t="shared" ref="E103:E113" si="96">IF(F102&lt;$D$8,F102,$D$8-D103)</f>
        <v>9236.1969262268703</v>
      </c>
      <c r="F103" s="80">
        <f t="shared" ref="F103:F113" si="97">IF(F102-E103&gt;0,F102-E103,0)</f>
        <v>4500106.7143854387</v>
      </c>
      <c r="G103" s="47"/>
      <c r="I103" s="81">
        <f t="shared" ref="I103:I113" si="98">L102*J103/12</f>
        <v>13606.735192109161</v>
      </c>
      <c r="J103" s="82">
        <f t="shared" ref="J103:J113" si="99">$F$6</f>
        <v>4.1000000000000002E-2</v>
      </c>
      <c r="K103" s="81"/>
      <c r="L103" s="81">
        <f t="shared" ref="L103:L113" si="100">MAX(L102+L102*($F$6/100)/12-I103-K103,0)</f>
        <v>3968988.4127771272</v>
      </c>
      <c r="M103" s="83">
        <f t="shared" si="95"/>
        <v>13945.732912471654</v>
      </c>
      <c r="N103" s="84"/>
      <c r="O103" s="72">
        <v>74</v>
      </c>
      <c r="P103" s="47" t="str">
        <f>IF(S102&gt;0.005,"February","")</f>
        <v/>
      </c>
      <c r="Q103" s="80">
        <f>IF(O103&lt;$S$7,"",IF(O103=$S$7,$Q$6*($S$6/12),S102*($S$6/12)))</f>
        <v>0</v>
      </c>
      <c r="R103" s="80">
        <f t="shared" ref="R103:R113" si="101">IF(O103&lt;$S$7,"",$Q$8-Q103)</f>
        <v>0</v>
      </c>
      <c r="S103" s="80">
        <f t="shared" ref="S103:S113" si="102">IF(O103&lt;$S$7,"",IF(O103=$S$7,$Q$6-R103,S102-R103))</f>
        <v>0</v>
      </c>
      <c r="T103" s="47"/>
      <c r="U103" s="84"/>
      <c r="V103" s="72">
        <v>74</v>
      </c>
      <c r="W103" s="47" t="e">
        <f>IF(Z102&gt;0.005,"February","")</f>
        <v>#NAME?</v>
      </c>
      <c r="X103" s="80" t="e">
        <f t="shared" ref="X103:X113" si="103">IF(V103&lt;$Z$7,"",($Z$6/12)*$X$6)</f>
        <v>#NAME?</v>
      </c>
      <c r="Y103" s="80"/>
      <c r="Z103" s="80" t="e">
        <f t="shared" ref="Z103:Z113" si="104">IF(V103&lt;$S$7,"",$X$6)</f>
        <v>#NAME?</v>
      </c>
      <c r="AA103" s="47"/>
      <c r="AB103" s="84"/>
      <c r="AC103" s="83"/>
      <c r="AD103" s="47" t="str">
        <f>IF(AG102&gt;0.005,"February","")</f>
        <v/>
      </c>
      <c r="AE103" s="80">
        <f t="shared" ref="AE103:AE113" si="105">IF(AG102&gt;0,ROUND(AG102*($AG$6/1200),2),0)</f>
        <v>0</v>
      </c>
      <c r="AF103" s="80">
        <f t="shared" ref="AF103:AF113" si="106">IF(AG102&lt;$AE$8,AG102,$AE$8-AE103)</f>
        <v>0</v>
      </c>
      <c r="AG103" s="80">
        <f t="shared" ref="AG103:AG113" si="107">IF(AG102-AF103&gt;0,AG102-AF103,0)</f>
        <v>0</v>
      </c>
      <c r="AH103" s="47"/>
    </row>
    <row r="104" spans="2:34" x14ac:dyDescent="0.25">
      <c r="B104" s="72">
        <v>75</v>
      </c>
      <c r="C104" s="47" t="str">
        <f>IF(F103&gt;0.005,"March","")</f>
        <v>March</v>
      </c>
      <c r="D104" s="80">
        <f t="shared" ref="D104:D112" si="108">IF(F103&gt;0,ROUND(F103*($F$6/12),2),0)</f>
        <v>15375.36</v>
      </c>
      <c r="E104" s="80">
        <f t="shared" si="96"/>
        <v>9267.7569262268698</v>
      </c>
      <c r="F104" s="80">
        <f t="shared" si="97"/>
        <v>4490838.9574592123</v>
      </c>
      <c r="G104" s="47"/>
      <c r="I104" s="81">
        <f t="shared" si="98"/>
        <v>13560.710410321852</v>
      </c>
      <c r="J104" s="82">
        <f t="shared" si="99"/>
        <v>4.1000000000000002E-2</v>
      </c>
      <c r="K104" s="81"/>
      <c r="L104" s="81">
        <f t="shared" si="100"/>
        <v>3955563.3094709083</v>
      </c>
      <c r="M104" s="83">
        <f t="shared" si="95"/>
        <v>13947.090479840477</v>
      </c>
      <c r="N104" s="84"/>
      <c r="O104" s="72">
        <v>75</v>
      </c>
      <c r="P104" s="47" t="str">
        <f>IF(S103&gt;0.005,"March","")</f>
        <v/>
      </c>
      <c r="Q104" s="80">
        <f t="shared" ref="Q104:Q113" si="109">IF(O104&lt;$S$7,"",IF(O104=$S$7,$Q$6*($S$6/12),S103*($S$6/12)))</f>
        <v>0</v>
      </c>
      <c r="R104" s="80">
        <f t="shared" si="101"/>
        <v>0</v>
      </c>
      <c r="S104" s="80">
        <f t="shared" si="102"/>
        <v>0</v>
      </c>
      <c r="T104" s="47"/>
      <c r="U104" s="84"/>
      <c r="V104" s="72">
        <v>75</v>
      </c>
      <c r="W104" s="47" t="e">
        <f>IF(Z103&gt;0.005,"March","")</f>
        <v>#NAME?</v>
      </c>
      <c r="X104" s="80" t="e">
        <f t="shared" si="103"/>
        <v>#NAME?</v>
      </c>
      <c r="Y104" s="80"/>
      <c r="Z104" s="80" t="e">
        <f t="shared" si="104"/>
        <v>#NAME?</v>
      </c>
      <c r="AA104" s="47"/>
      <c r="AB104" s="84"/>
      <c r="AC104" s="83"/>
      <c r="AD104" s="47" t="str">
        <f>IF(AG103&gt;0.005,"March","")</f>
        <v/>
      </c>
      <c r="AE104" s="80">
        <f t="shared" si="105"/>
        <v>0</v>
      </c>
      <c r="AF104" s="80">
        <f t="shared" si="106"/>
        <v>0</v>
      </c>
      <c r="AG104" s="80">
        <f t="shared" si="107"/>
        <v>0</v>
      </c>
      <c r="AH104" s="47"/>
    </row>
    <row r="105" spans="2:34" x14ac:dyDescent="0.25">
      <c r="B105" s="72">
        <v>76</v>
      </c>
      <c r="C105" s="47" t="str">
        <f>IF(F104&gt;0.005,"April","")</f>
        <v>April</v>
      </c>
      <c r="D105" s="80">
        <f t="shared" si="108"/>
        <v>15343.7</v>
      </c>
      <c r="E105" s="80">
        <f t="shared" si="96"/>
        <v>9299.4169262268697</v>
      </c>
      <c r="F105" s="80">
        <f t="shared" si="97"/>
        <v>4481539.5405329857</v>
      </c>
      <c r="G105" s="47"/>
      <c r="I105" s="81">
        <f t="shared" si="98"/>
        <v>13514.841307358938</v>
      </c>
      <c r="J105" s="82">
        <f t="shared" si="99"/>
        <v>4.1000000000000002E-2</v>
      </c>
      <c r="K105" s="81"/>
      <c r="L105" s="81">
        <f t="shared" si="100"/>
        <v>3942183.6165766232</v>
      </c>
      <c r="M105" s="83">
        <f t="shared" si="95"/>
        <v>13948.619906168147</v>
      </c>
      <c r="N105" s="84"/>
      <c r="O105" s="72">
        <v>76</v>
      </c>
      <c r="P105" s="47" t="str">
        <f>IF(S104&gt;0.005,"April","")</f>
        <v/>
      </c>
      <c r="Q105" s="80">
        <f t="shared" si="109"/>
        <v>0</v>
      </c>
      <c r="R105" s="80">
        <f t="shared" si="101"/>
        <v>0</v>
      </c>
      <c r="S105" s="80">
        <f t="shared" si="102"/>
        <v>0</v>
      </c>
      <c r="T105" s="47"/>
      <c r="U105" s="84"/>
      <c r="V105" s="72">
        <v>76</v>
      </c>
      <c r="W105" s="47" t="e">
        <f>IF(Z104&gt;0.005,"April","")</f>
        <v>#NAME?</v>
      </c>
      <c r="X105" s="80" t="e">
        <f t="shared" si="103"/>
        <v>#NAME?</v>
      </c>
      <c r="Y105" s="80"/>
      <c r="Z105" s="80" t="e">
        <f t="shared" si="104"/>
        <v>#NAME?</v>
      </c>
      <c r="AA105" s="47"/>
      <c r="AB105" s="84"/>
      <c r="AC105" s="83"/>
      <c r="AD105" s="47" t="str">
        <f>IF(AG104&gt;0.005,"April","")</f>
        <v/>
      </c>
      <c r="AE105" s="80">
        <f t="shared" si="105"/>
        <v>0</v>
      </c>
      <c r="AF105" s="80">
        <f t="shared" si="106"/>
        <v>0</v>
      </c>
      <c r="AG105" s="80">
        <f t="shared" si="107"/>
        <v>0</v>
      </c>
      <c r="AH105" s="47"/>
    </row>
    <row r="106" spans="2:34" x14ac:dyDescent="0.25">
      <c r="B106" s="72">
        <v>77</v>
      </c>
      <c r="C106" s="47" t="str">
        <f>IF(F105&gt;0.005,"May","")</f>
        <v>May</v>
      </c>
      <c r="D106" s="80">
        <f t="shared" si="108"/>
        <v>15311.93</v>
      </c>
      <c r="E106" s="80">
        <f t="shared" si="96"/>
        <v>9331.1869262268701</v>
      </c>
      <c r="F106" s="80">
        <f t="shared" si="97"/>
        <v>4472208.3536067586</v>
      </c>
      <c r="G106" s="47"/>
      <c r="I106" s="81">
        <f t="shared" si="98"/>
        <v>13469.127356636796</v>
      </c>
      <c r="J106" s="82">
        <f t="shared" si="99"/>
        <v>4.1000000000000002E-2</v>
      </c>
      <c r="K106" s="81"/>
      <c r="L106" s="81">
        <f t="shared" si="100"/>
        <v>3928849.1804935527</v>
      </c>
      <c r="M106" s="83">
        <f t="shared" si="95"/>
        <v>13950.32245960699</v>
      </c>
      <c r="N106" s="84"/>
      <c r="O106" s="72">
        <v>77</v>
      </c>
      <c r="P106" s="47" t="str">
        <f>IF(S105&gt;0.005,"May","")</f>
        <v/>
      </c>
      <c r="Q106" s="80">
        <f t="shared" si="109"/>
        <v>0</v>
      </c>
      <c r="R106" s="80">
        <f t="shared" si="101"/>
        <v>0</v>
      </c>
      <c r="S106" s="80">
        <f t="shared" si="102"/>
        <v>0</v>
      </c>
      <c r="T106" s="47"/>
      <c r="U106" s="84"/>
      <c r="V106" s="72">
        <v>77</v>
      </c>
      <c r="W106" s="47" t="e">
        <f>IF(Z105&gt;0.005,"May","")</f>
        <v>#NAME?</v>
      </c>
      <c r="X106" s="80" t="e">
        <f t="shared" si="103"/>
        <v>#NAME?</v>
      </c>
      <c r="Y106" s="80"/>
      <c r="Z106" s="80" t="e">
        <f t="shared" si="104"/>
        <v>#NAME?</v>
      </c>
      <c r="AA106" s="47"/>
      <c r="AB106" s="84"/>
      <c r="AC106" s="83"/>
      <c r="AD106" s="47" t="str">
        <f>IF(AG105&gt;0.005,"May","")</f>
        <v/>
      </c>
      <c r="AE106" s="80">
        <f t="shared" si="105"/>
        <v>0</v>
      </c>
      <c r="AF106" s="80">
        <f t="shared" si="106"/>
        <v>0</v>
      </c>
      <c r="AG106" s="80">
        <f t="shared" si="107"/>
        <v>0</v>
      </c>
      <c r="AH106" s="47"/>
    </row>
    <row r="107" spans="2:34" x14ac:dyDescent="0.25">
      <c r="B107" s="72">
        <v>78</v>
      </c>
      <c r="C107" s="47" t="str">
        <f>IF(F106&gt;0.005,"June","")</f>
        <v>June</v>
      </c>
      <c r="D107" s="80">
        <f t="shared" si="108"/>
        <v>15280.05</v>
      </c>
      <c r="E107" s="80">
        <f t="shared" si="96"/>
        <v>9363.0669262268711</v>
      </c>
      <c r="F107" s="80">
        <f t="shared" si="97"/>
        <v>4462845.2866805317</v>
      </c>
      <c r="G107" s="47"/>
      <c r="I107" s="81">
        <f t="shared" si="98"/>
        <v>13423.568033352973</v>
      </c>
      <c r="J107" s="82">
        <f t="shared" si="99"/>
        <v>4.1000000000000002E-2</v>
      </c>
      <c r="K107" s="81"/>
      <c r="L107" s="81">
        <f t="shared" si="100"/>
        <v>3915559.8481405331</v>
      </c>
      <c r="M107" s="83">
        <f t="shared" si="95"/>
        <v>13952.199428186148</v>
      </c>
      <c r="N107" s="84"/>
      <c r="O107" s="72">
        <v>78</v>
      </c>
      <c r="P107" s="47" t="str">
        <f>IF(S106&gt;0.005,"June","")</f>
        <v/>
      </c>
      <c r="Q107" s="80">
        <f t="shared" si="109"/>
        <v>0</v>
      </c>
      <c r="R107" s="80">
        <f t="shared" si="101"/>
        <v>0</v>
      </c>
      <c r="S107" s="80">
        <f t="shared" si="102"/>
        <v>0</v>
      </c>
      <c r="T107" s="47"/>
      <c r="U107" s="84"/>
      <c r="V107" s="72">
        <v>78</v>
      </c>
      <c r="W107" s="47" t="e">
        <f>IF(Z106&gt;0.005,"June","")</f>
        <v>#NAME?</v>
      </c>
      <c r="X107" s="80" t="e">
        <f t="shared" si="103"/>
        <v>#NAME?</v>
      </c>
      <c r="Y107" s="80"/>
      <c r="Z107" s="80" t="e">
        <f t="shared" si="104"/>
        <v>#NAME?</v>
      </c>
      <c r="AA107" s="47"/>
      <c r="AB107" s="84"/>
      <c r="AC107" s="83"/>
      <c r="AD107" s="47" t="str">
        <f>IF(AG106&gt;0.005,"June","")</f>
        <v/>
      </c>
      <c r="AE107" s="80">
        <f t="shared" si="105"/>
        <v>0</v>
      </c>
      <c r="AF107" s="80">
        <f t="shared" si="106"/>
        <v>0</v>
      </c>
      <c r="AG107" s="80">
        <f t="shared" si="107"/>
        <v>0</v>
      </c>
      <c r="AH107" s="47"/>
    </row>
    <row r="108" spans="2:34" x14ac:dyDescent="0.25">
      <c r="B108" s="72">
        <v>79</v>
      </c>
      <c r="C108" s="47" t="str">
        <f>IF(F107&gt;0.005,"July","")</f>
        <v>July</v>
      </c>
      <c r="D108" s="80">
        <f t="shared" si="108"/>
        <v>15248.05</v>
      </c>
      <c r="E108" s="80">
        <f t="shared" si="96"/>
        <v>9395.0669262268711</v>
      </c>
      <c r="F108" s="80">
        <f t="shared" si="97"/>
        <v>4453450.2197543047</v>
      </c>
      <c r="G108" s="47"/>
      <c r="I108" s="81">
        <f t="shared" si="98"/>
        <v>13378.162814480156</v>
      </c>
      <c r="J108" s="82">
        <f t="shared" si="99"/>
        <v>4.1000000000000002E-2</v>
      </c>
      <c r="K108" s="81"/>
      <c r="L108" s="81">
        <f t="shared" si="100"/>
        <v>3902315.4669541977</v>
      </c>
      <c r="M108" s="83">
        <f t="shared" si="95"/>
        <v>13954.252120158822</v>
      </c>
      <c r="N108" s="84"/>
      <c r="O108" s="72">
        <v>79</v>
      </c>
      <c r="P108" s="47" t="str">
        <f>IF(S107&gt;0.005,"July","")</f>
        <v/>
      </c>
      <c r="Q108" s="80">
        <f t="shared" si="109"/>
        <v>0</v>
      </c>
      <c r="R108" s="80">
        <f t="shared" si="101"/>
        <v>0</v>
      </c>
      <c r="S108" s="80">
        <f t="shared" si="102"/>
        <v>0</v>
      </c>
      <c r="T108" s="47"/>
      <c r="U108" s="84"/>
      <c r="V108" s="72">
        <v>79</v>
      </c>
      <c r="W108" s="47" t="e">
        <f>IF(Z107&gt;0.005,"July","")</f>
        <v>#NAME?</v>
      </c>
      <c r="X108" s="80" t="e">
        <f t="shared" si="103"/>
        <v>#NAME?</v>
      </c>
      <c r="Y108" s="80"/>
      <c r="Z108" s="80" t="e">
        <f t="shared" si="104"/>
        <v>#NAME?</v>
      </c>
      <c r="AA108" s="47"/>
      <c r="AB108" s="84"/>
      <c r="AC108" s="83"/>
      <c r="AD108" s="47" t="str">
        <f>IF(AG107&gt;0.005,"July","")</f>
        <v/>
      </c>
      <c r="AE108" s="80">
        <f t="shared" si="105"/>
        <v>0</v>
      </c>
      <c r="AF108" s="80">
        <f t="shared" si="106"/>
        <v>0</v>
      </c>
      <c r="AG108" s="80">
        <f t="shared" si="107"/>
        <v>0</v>
      </c>
      <c r="AH108" s="47"/>
    </row>
    <row r="109" spans="2:34" x14ac:dyDescent="0.25">
      <c r="B109" s="72">
        <v>80</v>
      </c>
      <c r="C109" s="47" t="str">
        <f>IF(F108&gt;0.005,"August","")</f>
        <v>August</v>
      </c>
      <c r="D109" s="80">
        <f t="shared" si="108"/>
        <v>15215.95</v>
      </c>
      <c r="E109" s="80">
        <f t="shared" si="96"/>
        <v>9427.1669262268697</v>
      </c>
      <c r="F109" s="80">
        <f t="shared" si="97"/>
        <v>4444023.0528280782</v>
      </c>
      <c r="G109" s="47"/>
      <c r="I109" s="81">
        <f t="shared" si="98"/>
        <v>13332.911178760178</v>
      </c>
      <c r="J109" s="82">
        <f t="shared" si="99"/>
        <v>4.1000000000000002E-2</v>
      </c>
      <c r="K109" s="81"/>
      <c r="L109" s="81">
        <f t="shared" si="100"/>
        <v>3889115.884887225</v>
      </c>
      <c r="M109" s="83">
        <f t="shared" si="95"/>
        <v>13956.48186435696</v>
      </c>
      <c r="N109" s="84"/>
      <c r="O109" s="72">
        <v>80</v>
      </c>
      <c r="P109" s="47" t="str">
        <f>IF(S108&gt;0.005,"August","")</f>
        <v/>
      </c>
      <c r="Q109" s="80">
        <f t="shared" si="109"/>
        <v>0</v>
      </c>
      <c r="R109" s="80">
        <f t="shared" si="101"/>
        <v>0</v>
      </c>
      <c r="S109" s="80">
        <f t="shared" si="102"/>
        <v>0</v>
      </c>
      <c r="T109" s="47"/>
      <c r="U109" s="84"/>
      <c r="V109" s="72">
        <v>80</v>
      </c>
      <c r="W109" s="47" t="e">
        <f>IF(Z108&gt;0.005,"August","")</f>
        <v>#NAME?</v>
      </c>
      <c r="X109" s="80" t="e">
        <f t="shared" si="103"/>
        <v>#NAME?</v>
      </c>
      <c r="Y109" s="80"/>
      <c r="Z109" s="80" t="e">
        <f t="shared" si="104"/>
        <v>#NAME?</v>
      </c>
      <c r="AA109" s="47"/>
      <c r="AB109" s="84"/>
      <c r="AC109" s="83"/>
      <c r="AD109" s="47" t="str">
        <f>IF(AG108&gt;0.005,"August","")</f>
        <v/>
      </c>
      <c r="AE109" s="80">
        <f t="shared" si="105"/>
        <v>0</v>
      </c>
      <c r="AF109" s="80">
        <f t="shared" si="106"/>
        <v>0</v>
      </c>
      <c r="AG109" s="80">
        <f t="shared" si="107"/>
        <v>0</v>
      </c>
      <c r="AH109" s="47"/>
    </row>
    <row r="110" spans="2:34" x14ac:dyDescent="0.25">
      <c r="B110" s="72">
        <v>81</v>
      </c>
      <c r="C110" s="47" t="str">
        <f>IF(F109&gt;0.005,"September","")</f>
        <v>September</v>
      </c>
      <c r="D110" s="80">
        <f t="shared" si="108"/>
        <v>15183.75</v>
      </c>
      <c r="E110" s="80">
        <f t="shared" si="96"/>
        <v>9459.3669262268704</v>
      </c>
      <c r="F110" s="80">
        <f t="shared" si="97"/>
        <v>4434563.6859018514</v>
      </c>
      <c r="G110" s="47"/>
      <c r="I110" s="81">
        <f t="shared" si="98"/>
        <v>13287.812606698018</v>
      </c>
      <c r="J110" s="82">
        <f t="shared" si="99"/>
        <v>4.1000000000000002E-2</v>
      </c>
      <c r="K110" s="81"/>
      <c r="L110" s="81">
        <f t="shared" si="100"/>
        <v>3875960.9504065942</v>
      </c>
      <c r="M110" s="83">
        <f t="shared" si="95"/>
        <v>13958.890010553616</v>
      </c>
      <c r="N110" s="84"/>
      <c r="O110" s="72">
        <v>81</v>
      </c>
      <c r="P110" s="47" t="str">
        <f>IF(S109&gt;0.005,"September","")</f>
        <v/>
      </c>
      <c r="Q110" s="80">
        <f t="shared" si="109"/>
        <v>0</v>
      </c>
      <c r="R110" s="80">
        <f t="shared" si="101"/>
        <v>0</v>
      </c>
      <c r="S110" s="80">
        <f t="shared" si="102"/>
        <v>0</v>
      </c>
      <c r="T110" s="47"/>
      <c r="U110" s="84"/>
      <c r="V110" s="72">
        <v>81</v>
      </c>
      <c r="W110" s="47" t="e">
        <f>IF(Z109&gt;0.005,"September","")</f>
        <v>#NAME?</v>
      </c>
      <c r="X110" s="80" t="e">
        <f t="shared" si="103"/>
        <v>#NAME?</v>
      </c>
      <c r="Y110" s="80"/>
      <c r="Z110" s="80" t="e">
        <f t="shared" si="104"/>
        <v>#NAME?</v>
      </c>
      <c r="AA110" s="47"/>
      <c r="AB110" s="84"/>
      <c r="AC110" s="83"/>
      <c r="AD110" s="47" t="str">
        <f>IF(AG109&gt;0.005,"September","")</f>
        <v/>
      </c>
      <c r="AE110" s="80">
        <f t="shared" si="105"/>
        <v>0</v>
      </c>
      <c r="AF110" s="80">
        <f t="shared" si="106"/>
        <v>0</v>
      </c>
      <c r="AG110" s="80">
        <f t="shared" si="107"/>
        <v>0</v>
      </c>
      <c r="AH110" s="47"/>
    </row>
    <row r="111" spans="2:34" x14ac:dyDescent="0.25">
      <c r="B111" s="72">
        <v>82</v>
      </c>
      <c r="C111" s="47" t="str">
        <f>IF(F110&gt;0.005,"October","")</f>
        <v>October</v>
      </c>
      <c r="D111" s="80">
        <f t="shared" si="108"/>
        <v>15151.43</v>
      </c>
      <c r="E111" s="80">
        <f t="shared" si="96"/>
        <v>9491.6869262268701</v>
      </c>
      <c r="F111" s="80">
        <f t="shared" si="97"/>
        <v>4425071.9989756243</v>
      </c>
      <c r="G111" s="47"/>
      <c r="I111" s="81">
        <f t="shared" si="98"/>
        <v>13242.866580555863</v>
      </c>
      <c r="J111" s="82">
        <f t="shared" si="99"/>
        <v>4.1000000000000002E-2</v>
      </c>
      <c r="K111" s="81"/>
      <c r="L111" s="81">
        <f t="shared" si="100"/>
        <v>3862850.5124918441</v>
      </c>
      <c r="M111" s="83">
        <f t="shared" si="95"/>
        <v>13961.477929833129</v>
      </c>
      <c r="N111" s="84"/>
      <c r="O111" s="72">
        <v>82</v>
      </c>
      <c r="P111" s="47" t="str">
        <f>IF(S110&gt;0.005,"October","")</f>
        <v/>
      </c>
      <c r="Q111" s="80">
        <f t="shared" si="109"/>
        <v>0</v>
      </c>
      <c r="R111" s="80">
        <f t="shared" si="101"/>
        <v>0</v>
      </c>
      <c r="S111" s="80">
        <f t="shared" si="102"/>
        <v>0</v>
      </c>
      <c r="T111" s="47"/>
      <c r="U111" s="84"/>
      <c r="V111" s="72">
        <v>82</v>
      </c>
      <c r="W111" s="47" t="e">
        <f>IF(Z110&gt;0.005,"October","")</f>
        <v>#NAME?</v>
      </c>
      <c r="X111" s="80" t="e">
        <f t="shared" si="103"/>
        <v>#NAME?</v>
      </c>
      <c r="Y111" s="80"/>
      <c r="Z111" s="80" t="e">
        <f t="shared" si="104"/>
        <v>#NAME?</v>
      </c>
      <c r="AA111" s="47"/>
      <c r="AB111" s="84"/>
      <c r="AC111" s="83"/>
      <c r="AD111" s="47" t="str">
        <f>IF(AG110&gt;0.005,"October","")</f>
        <v/>
      </c>
      <c r="AE111" s="80">
        <f t="shared" si="105"/>
        <v>0</v>
      </c>
      <c r="AF111" s="80">
        <f t="shared" si="106"/>
        <v>0</v>
      </c>
      <c r="AG111" s="80">
        <f t="shared" si="107"/>
        <v>0</v>
      </c>
      <c r="AH111" s="47"/>
    </row>
    <row r="112" spans="2:34" x14ac:dyDescent="0.25">
      <c r="B112" s="72">
        <v>83</v>
      </c>
      <c r="C112" s="47" t="str">
        <f>IF(F111&gt;0.005,"November","")</f>
        <v>November</v>
      </c>
      <c r="D112" s="80">
        <f t="shared" si="108"/>
        <v>15119</v>
      </c>
      <c r="E112" s="80">
        <f t="shared" si="96"/>
        <v>9524.1169262268704</v>
      </c>
      <c r="F112" s="80">
        <f t="shared" si="97"/>
        <v>4415547.8820493976</v>
      </c>
      <c r="G112" s="47"/>
      <c r="I112" s="81">
        <f t="shared" si="98"/>
        <v>13198.072584347135</v>
      </c>
      <c r="J112" s="82">
        <f t="shared" si="99"/>
        <v>4.1000000000000002E-2</v>
      </c>
      <c r="K112" s="81"/>
      <c r="L112" s="81">
        <f t="shared" si="100"/>
        <v>3849784.4206333403</v>
      </c>
      <c r="M112" s="83">
        <f t="shared" si="95"/>
        <v>13964.247014969371</v>
      </c>
      <c r="N112" s="84"/>
      <c r="O112" s="72">
        <v>83</v>
      </c>
      <c r="P112" s="47" t="str">
        <f>IF(S111&gt;0.005,"November","")</f>
        <v/>
      </c>
      <c r="Q112" s="80">
        <f t="shared" si="109"/>
        <v>0</v>
      </c>
      <c r="R112" s="80">
        <f t="shared" si="101"/>
        <v>0</v>
      </c>
      <c r="S112" s="80">
        <f t="shared" si="102"/>
        <v>0</v>
      </c>
      <c r="T112" s="47"/>
      <c r="U112" s="84"/>
      <c r="V112" s="72">
        <v>83</v>
      </c>
      <c r="W112" s="47" t="e">
        <f>IF(Z111&gt;0.005,"November","")</f>
        <v>#NAME?</v>
      </c>
      <c r="X112" s="80" t="e">
        <f t="shared" si="103"/>
        <v>#NAME?</v>
      </c>
      <c r="Y112" s="80"/>
      <c r="Z112" s="80" t="e">
        <f t="shared" si="104"/>
        <v>#NAME?</v>
      </c>
      <c r="AA112" s="47"/>
      <c r="AB112" s="84"/>
      <c r="AC112" s="83"/>
      <c r="AD112" s="47" t="str">
        <f>IF(AG111&gt;0.005,"November","")</f>
        <v/>
      </c>
      <c r="AE112" s="80">
        <f t="shared" si="105"/>
        <v>0</v>
      </c>
      <c r="AF112" s="80">
        <f t="shared" si="106"/>
        <v>0</v>
      </c>
      <c r="AG112" s="80">
        <f t="shared" si="107"/>
        <v>0</v>
      </c>
      <c r="AH112" s="47"/>
    </row>
    <row r="113" spans="2:34" x14ac:dyDescent="0.25">
      <c r="B113" s="72">
        <v>84</v>
      </c>
      <c r="C113" s="47" t="str">
        <f>IF(F112&gt;0.005,"December","")</f>
        <v>December</v>
      </c>
      <c r="D113" s="80">
        <f>IF(F112&gt;0,ROUND(F112*($F$6/12),2),0)</f>
        <v>15086.46</v>
      </c>
      <c r="E113" s="80">
        <f t="shared" si="96"/>
        <v>9556.6569262268713</v>
      </c>
      <c r="F113" s="80">
        <f t="shared" si="97"/>
        <v>4405991.2251231708</v>
      </c>
      <c r="G113" s="47"/>
      <c r="I113" s="81">
        <f t="shared" si="98"/>
        <v>13153.43010383058</v>
      </c>
      <c r="J113" s="82">
        <f t="shared" si="99"/>
        <v>4.1000000000000002E-2</v>
      </c>
      <c r="K113" s="81"/>
      <c r="L113" s="81">
        <f t="shared" si="100"/>
        <v>3836762.5248305481</v>
      </c>
      <c r="M113" s="83">
        <f t="shared" si="95"/>
        <v>13967.198680812213</v>
      </c>
      <c r="N113" s="84"/>
      <c r="O113" s="72">
        <v>84</v>
      </c>
      <c r="P113" s="47" t="str">
        <f>IF(S112&gt;0.005,"December","")</f>
        <v/>
      </c>
      <c r="Q113" s="80">
        <f t="shared" si="109"/>
        <v>0</v>
      </c>
      <c r="R113" s="80">
        <f t="shared" si="101"/>
        <v>0</v>
      </c>
      <c r="S113" s="80">
        <f t="shared" si="102"/>
        <v>0</v>
      </c>
      <c r="T113" s="47"/>
      <c r="U113" s="84"/>
      <c r="V113" s="72">
        <v>84</v>
      </c>
      <c r="W113" s="47" t="e">
        <f>IF(Z112&gt;0.005,"December","")</f>
        <v>#NAME?</v>
      </c>
      <c r="X113" s="80" t="e">
        <f t="shared" si="103"/>
        <v>#NAME?</v>
      </c>
      <c r="Y113" s="80"/>
      <c r="Z113" s="80" t="e">
        <f t="shared" si="104"/>
        <v>#NAME?</v>
      </c>
      <c r="AA113" s="47"/>
      <c r="AB113" s="84"/>
      <c r="AC113" s="83"/>
      <c r="AD113" s="47" t="str">
        <f>IF(AG112&gt;0.005,"December","")</f>
        <v/>
      </c>
      <c r="AE113" s="80">
        <f t="shared" si="105"/>
        <v>0</v>
      </c>
      <c r="AF113" s="80">
        <f t="shared" si="106"/>
        <v>0</v>
      </c>
      <c r="AG113" s="80">
        <f t="shared" si="107"/>
        <v>0</v>
      </c>
      <c r="AH113" s="47"/>
    </row>
    <row r="114" spans="2:34" x14ac:dyDescent="0.25">
      <c r="B114" s="46"/>
      <c r="C114" s="85" t="str">
        <f>"Total "&amp;YEAR($C$9)+6</f>
        <v>Total 2025</v>
      </c>
      <c r="D114" s="86">
        <f>SUM(D102:D113)</f>
        <v>183160.97</v>
      </c>
      <c r="E114" s="86">
        <f>SUM(E102:E113)</f>
        <v>112556.43311472244</v>
      </c>
      <c r="F114" s="87"/>
      <c r="G114" s="47"/>
      <c r="I114" s="86">
        <f>SUM(I102:I113)</f>
        <v>160821.15434954336</v>
      </c>
      <c r="J114" s="46"/>
      <c r="K114" s="86">
        <f>SUM(K102:K113)</f>
        <v>0</v>
      </c>
      <c r="L114" s="46"/>
      <c r="M114" s="46"/>
      <c r="O114" s="46"/>
      <c r="P114" s="85" t="str">
        <f>"Total "&amp;YEAR($C$9)+6</f>
        <v>Total 2025</v>
      </c>
      <c r="Q114" s="86">
        <f>SUM(Q102:Q113)</f>
        <v>0</v>
      </c>
      <c r="R114" s="86">
        <f>SUM(R102:R113)</f>
        <v>0</v>
      </c>
      <c r="S114" s="87"/>
      <c r="T114" s="47"/>
      <c r="V114" s="46"/>
      <c r="W114" s="85" t="str">
        <f>"Total "&amp;YEAR($C$9)+6</f>
        <v>Total 2025</v>
      </c>
      <c r="X114" s="86" t="e">
        <f>SUM(X102:X113)</f>
        <v>#NAME?</v>
      </c>
      <c r="Y114" s="86">
        <f>SUM(Y102:Y113)</f>
        <v>0</v>
      </c>
      <c r="Z114" s="87"/>
      <c r="AA114" s="47"/>
      <c r="AC114" s="46"/>
      <c r="AD114" s="85" t="str">
        <f>"Total "&amp;YEAR($C$9)+6</f>
        <v>Total 2025</v>
      </c>
      <c r="AE114" s="86">
        <f>SUM(AE102:AE113)</f>
        <v>0</v>
      </c>
      <c r="AF114" s="86">
        <f>SUM(AF102:AF113)</f>
        <v>0</v>
      </c>
      <c r="AG114" s="87"/>
      <c r="AH114" s="47"/>
    </row>
    <row r="115" spans="2:34" x14ac:dyDescent="0.25">
      <c r="B115" s="46"/>
      <c r="C115" s="47"/>
      <c r="D115" s="80"/>
      <c r="E115" s="80"/>
      <c r="F115" s="80"/>
      <c r="G115" s="47"/>
      <c r="I115" s="46"/>
      <c r="J115" s="46"/>
      <c r="K115" s="46"/>
      <c r="L115" s="46"/>
      <c r="M115" s="46"/>
      <c r="O115" s="46"/>
      <c r="P115" s="47"/>
      <c r="Q115" s="80"/>
      <c r="R115" s="80"/>
      <c r="S115" s="80"/>
      <c r="T115" s="47"/>
      <c r="V115" s="46"/>
      <c r="W115" s="47"/>
      <c r="X115" s="80"/>
      <c r="Y115" s="80"/>
      <c r="Z115" s="80"/>
      <c r="AA115" s="47"/>
      <c r="AC115" s="46"/>
      <c r="AD115" s="47"/>
      <c r="AE115" s="80"/>
      <c r="AF115" s="80"/>
      <c r="AG115" s="80"/>
      <c r="AH115" s="47"/>
    </row>
    <row r="116" spans="2:34" x14ac:dyDescent="0.25">
      <c r="B116" s="46"/>
      <c r="C116" s="47"/>
      <c r="D116" s="75" t="s">
        <v>62</v>
      </c>
      <c r="E116" s="75" t="s">
        <v>63</v>
      </c>
      <c r="F116" s="75" t="s">
        <v>64</v>
      </c>
      <c r="G116" s="47"/>
      <c r="I116" s="46"/>
      <c r="J116" s="46"/>
      <c r="K116" s="46"/>
      <c r="L116" s="46"/>
      <c r="M116" s="46"/>
      <c r="O116" s="46"/>
      <c r="P116" s="47"/>
      <c r="Q116" s="75" t="s">
        <v>62</v>
      </c>
      <c r="R116" s="75" t="s">
        <v>63</v>
      </c>
      <c r="S116" s="75" t="s">
        <v>64</v>
      </c>
      <c r="T116" s="47"/>
      <c r="V116" s="46"/>
      <c r="W116" s="47"/>
      <c r="X116" s="75" t="s">
        <v>62</v>
      </c>
      <c r="Y116" s="75" t="s">
        <v>63</v>
      </c>
      <c r="Z116" s="75" t="s">
        <v>64</v>
      </c>
      <c r="AA116" s="47"/>
      <c r="AC116" s="46"/>
      <c r="AD116" s="47"/>
      <c r="AE116" s="75" t="s">
        <v>62</v>
      </c>
      <c r="AF116" s="75" t="s">
        <v>63</v>
      </c>
      <c r="AG116" s="75" t="s">
        <v>64</v>
      </c>
      <c r="AH116" s="47"/>
    </row>
    <row r="117" spans="2:34" x14ac:dyDescent="0.25">
      <c r="B117" s="72">
        <v>85</v>
      </c>
      <c r="C117" s="47" t="str">
        <f>IF(F113&gt;0.005,"January","")</f>
        <v>January</v>
      </c>
      <c r="D117" s="80">
        <f>IF(F113&gt;0,ROUND(F113*($F$6/12),2),0)</f>
        <v>15053.8</v>
      </c>
      <c r="E117" s="80">
        <f>IF(F113&lt;$D$8,F113,$D$8-D117)</f>
        <v>9589.3169262268711</v>
      </c>
      <c r="F117" s="80">
        <f>IF(F113-E117&gt;0,F113-E117,0)</f>
        <v>4396401.9081969438</v>
      </c>
      <c r="G117" s="47"/>
      <c r="I117" s="81">
        <f>L113*J117/12</f>
        <v>13108.938626504372</v>
      </c>
      <c r="J117" s="82">
        <f>$F$6</f>
        <v>4.1000000000000002E-2</v>
      </c>
      <c r="K117" s="81"/>
      <c r="L117" s="81">
        <f>MAX(L113+L113*($F$6/100)/12-I117-K117,0)</f>
        <v>3823784.6755903088</v>
      </c>
      <c r="M117" s="83">
        <f t="shared" ref="M117:M128" si="110">-PMT(($F$6/100)/12,$D$7-B117,L117,0,0)</f>
        <v>13970.334364682458</v>
      </c>
      <c r="N117" s="84"/>
      <c r="O117" s="72">
        <v>85</v>
      </c>
      <c r="P117" s="47" t="str">
        <f>IF(S113&gt;0.005,"January","")</f>
        <v/>
      </c>
      <c r="Q117" s="80">
        <f>IF(O117&lt;$S$7,"",IF(O117=$S$7,$Q$6*($S$6/12),S113*($S$6/12)))</f>
        <v>0</v>
      </c>
      <c r="R117" s="80">
        <f>IF(O117&lt;$S$7,"",$Q$8-Q117)</f>
        <v>0</v>
      </c>
      <c r="S117" s="80">
        <f>IF(O117&lt;$S$7,"",IF(O117=$S$7,$Q$6-R117,S113-R117))</f>
        <v>0</v>
      </c>
      <c r="T117" s="47"/>
      <c r="U117" s="84"/>
      <c r="V117" s="72">
        <v>85</v>
      </c>
      <c r="W117" s="47" t="e">
        <f>IF(Z113&gt;0.005,"January","")</f>
        <v>#NAME?</v>
      </c>
      <c r="X117" s="80" t="e">
        <f>IF(V117&lt;$Z$7,"",($Z$6/12)*$X$6)</f>
        <v>#NAME?</v>
      </c>
      <c r="Y117" s="80"/>
      <c r="Z117" s="80" t="e">
        <f>IF(V117&lt;$S$7,"",$X$6)</f>
        <v>#NAME?</v>
      </c>
      <c r="AA117" s="47"/>
      <c r="AB117" s="84"/>
      <c r="AC117" s="83"/>
      <c r="AD117" s="47" t="str">
        <f>IF(AG113&gt;0.005,"January","")</f>
        <v/>
      </c>
      <c r="AE117" s="80">
        <f>IF(AG113&gt;0,ROUND(AG113*($AG$6/1200),2),0)</f>
        <v>0</v>
      </c>
      <c r="AF117" s="80">
        <f>IF(AG113&lt;$AE$8,AG113,$AE$8-AE117)</f>
        <v>0</v>
      </c>
      <c r="AG117" s="80">
        <f>IF(AG113-AF117&gt;0,AG113-AF117,0)</f>
        <v>0</v>
      </c>
      <c r="AH117" s="47"/>
    </row>
    <row r="118" spans="2:34" x14ac:dyDescent="0.25">
      <c r="B118" s="72">
        <v>86</v>
      </c>
      <c r="C118" s="47" t="str">
        <f>IF(F117&gt;0.005,"February","")</f>
        <v>February</v>
      </c>
      <c r="D118" s="80">
        <f>IF(F117&gt;0,ROUND(F117*($F$6/12),2),0)</f>
        <v>15021.04</v>
      </c>
      <c r="E118" s="80">
        <f t="shared" ref="E118:E128" si="111">IF(F117&lt;$D$8,F117,$D$8-D118)</f>
        <v>9622.0769262268695</v>
      </c>
      <c r="F118" s="80">
        <f t="shared" ref="F118:F128" si="112">IF(F117-E118&gt;0,F117-E118,0)</f>
        <v>4386779.8312707171</v>
      </c>
      <c r="G118" s="47"/>
      <c r="I118" s="81">
        <f t="shared" ref="I118:I128" si="113">L117*J118/12</f>
        <v>13064.597641600223</v>
      </c>
      <c r="J118" s="82">
        <f t="shared" ref="J118:J128" si="114">$F$6</f>
        <v>4.1000000000000002E-2</v>
      </c>
      <c r="K118" s="81"/>
      <c r="L118" s="81">
        <f t="shared" ref="L118:L128" si="115">MAX(L117+L117*($F$6/100)/12-I118-K118,0)</f>
        <v>3810850.7239251244</v>
      </c>
      <c r="M118" s="83">
        <f t="shared" si="110"/>
        <v>13973.655526775436</v>
      </c>
      <c r="N118" s="84"/>
      <c r="O118" s="72">
        <v>86</v>
      </c>
      <c r="P118" s="47" t="str">
        <f>IF(S117&gt;0.005,"February","")</f>
        <v/>
      </c>
      <c r="Q118" s="80">
        <f>IF(O118&lt;$S$7,"",IF(O118=$S$7,$Q$6*($S$6/12),S117*($S$6/12)))</f>
        <v>0</v>
      </c>
      <c r="R118" s="80">
        <f t="shared" ref="R118:R128" si="116">IF(O118&lt;$S$7,"",$Q$8-Q118)</f>
        <v>0</v>
      </c>
      <c r="S118" s="80">
        <f t="shared" ref="S118:S128" si="117">IF(O118&lt;$S$7,"",IF(O118=$S$7,$Q$6-R118,S117-R118))</f>
        <v>0</v>
      </c>
      <c r="T118" s="47"/>
      <c r="U118" s="84"/>
      <c r="V118" s="72">
        <v>86</v>
      </c>
      <c r="W118" s="47" t="e">
        <f>IF(Z117&gt;0.005,"February","")</f>
        <v>#NAME?</v>
      </c>
      <c r="X118" s="80" t="e">
        <f t="shared" ref="X118:X128" si="118">IF(V118&lt;$Z$7,"",($Z$6/12)*$X$6)</f>
        <v>#NAME?</v>
      </c>
      <c r="Y118" s="80"/>
      <c r="Z118" s="80" t="e">
        <f t="shared" ref="Z118:Z128" si="119">IF(V118&lt;$S$7,"",$X$6)</f>
        <v>#NAME?</v>
      </c>
      <c r="AA118" s="47"/>
      <c r="AB118" s="84"/>
      <c r="AC118" s="83"/>
      <c r="AD118" s="47" t="str">
        <f>IF(AG117&gt;0.005,"February","")</f>
        <v/>
      </c>
      <c r="AE118" s="80">
        <f t="shared" ref="AE118:AE128" si="120">IF(AG117&gt;0,ROUND(AG117*($AG$6/1200),2),0)</f>
        <v>0</v>
      </c>
      <c r="AF118" s="80">
        <f t="shared" ref="AF118:AF128" si="121">IF(AG117&lt;$AE$8,AG117,$AE$8-AE118)</f>
        <v>0</v>
      </c>
      <c r="AG118" s="80">
        <f t="shared" ref="AG118:AG128" si="122">IF(AG117-AF118&gt;0,AG117-AF118,0)</f>
        <v>0</v>
      </c>
      <c r="AH118" s="47"/>
    </row>
    <row r="119" spans="2:34" x14ac:dyDescent="0.25">
      <c r="B119" s="72">
        <v>87</v>
      </c>
      <c r="C119" s="47" t="str">
        <f>IF(F118&gt;0.005,"March","")</f>
        <v>March</v>
      </c>
      <c r="D119" s="80">
        <f t="shared" ref="D119:D127" si="123">IF(F118&gt;0,ROUND(F118*($F$6/12),2),0)</f>
        <v>14988.16</v>
      </c>
      <c r="E119" s="80">
        <f t="shared" si="111"/>
        <v>9654.9569262268706</v>
      </c>
      <c r="F119" s="80">
        <f t="shared" si="112"/>
        <v>4377124.8743444905</v>
      </c>
      <c r="G119" s="47"/>
      <c r="I119" s="81">
        <f t="shared" si="113"/>
        <v>13020.40664007751</v>
      </c>
      <c r="J119" s="82">
        <f t="shared" si="114"/>
        <v>4.1000000000000002E-2</v>
      </c>
      <c r="K119" s="81"/>
      <c r="L119" s="81">
        <f t="shared" si="115"/>
        <v>3797960.5213514478</v>
      </c>
      <c r="M119" s="83">
        <f t="shared" si="110"/>
        <v>13977.163650573511</v>
      </c>
      <c r="N119" s="84"/>
      <c r="O119" s="72">
        <v>87</v>
      </c>
      <c r="P119" s="47" t="str">
        <f>IF(S118&gt;0.005,"March","")</f>
        <v/>
      </c>
      <c r="Q119" s="80">
        <f t="shared" ref="Q119:Q128" si="124">IF(O119&lt;$S$7,"",IF(O119=$S$7,$Q$6*($S$6/12),S118*($S$6/12)))</f>
        <v>0</v>
      </c>
      <c r="R119" s="80">
        <f t="shared" si="116"/>
        <v>0</v>
      </c>
      <c r="S119" s="80">
        <f t="shared" si="117"/>
        <v>0</v>
      </c>
      <c r="T119" s="47"/>
      <c r="U119" s="84"/>
      <c r="V119" s="72">
        <v>87</v>
      </c>
      <c r="W119" s="47" t="e">
        <f>IF(Z118&gt;0.005,"March","")</f>
        <v>#NAME?</v>
      </c>
      <c r="X119" s="80" t="e">
        <f t="shared" si="118"/>
        <v>#NAME?</v>
      </c>
      <c r="Y119" s="80"/>
      <c r="Z119" s="80" t="e">
        <f t="shared" si="119"/>
        <v>#NAME?</v>
      </c>
      <c r="AA119" s="47"/>
      <c r="AB119" s="84"/>
      <c r="AC119" s="83"/>
      <c r="AD119" s="47" t="str">
        <f>IF(AG118&gt;0.005,"March","")</f>
        <v/>
      </c>
      <c r="AE119" s="80">
        <f t="shared" si="120"/>
        <v>0</v>
      </c>
      <c r="AF119" s="80">
        <f t="shared" si="121"/>
        <v>0</v>
      </c>
      <c r="AG119" s="80">
        <f t="shared" si="122"/>
        <v>0</v>
      </c>
      <c r="AH119" s="47"/>
    </row>
    <row r="120" spans="2:34" x14ac:dyDescent="0.25">
      <c r="B120" s="72">
        <v>88</v>
      </c>
      <c r="C120" s="47" t="str">
        <f>IF(F119&gt;0.005,"April","")</f>
        <v>April</v>
      </c>
      <c r="D120" s="80">
        <f t="shared" si="123"/>
        <v>14955.18</v>
      </c>
      <c r="E120" s="80">
        <f t="shared" si="111"/>
        <v>9687.9369262268701</v>
      </c>
      <c r="F120" s="80">
        <f t="shared" si="112"/>
        <v>4367436.9374182634</v>
      </c>
      <c r="G120" s="47"/>
      <c r="I120" s="81">
        <f t="shared" si="113"/>
        <v>12976.365114617447</v>
      </c>
      <c r="J120" s="82">
        <f t="shared" si="114"/>
        <v>4.1000000000000002E-2</v>
      </c>
      <c r="K120" s="81"/>
      <c r="L120" s="81">
        <f t="shared" si="115"/>
        <v>3785113.9198879763</v>
      </c>
      <c r="M120" s="83">
        <f t="shared" si="110"/>
        <v>13980.860243267683</v>
      </c>
      <c r="N120" s="84"/>
      <c r="O120" s="72">
        <v>88</v>
      </c>
      <c r="P120" s="47" t="str">
        <f>IF(S119&gt;0.005,"April","")</f>
        <v/>
      </c>
      <c r="Q120" s="80">
        <f t="shared" si="124"/>
        <v>0</v>
      </c>
      <c r="R120" s="80">
        <f t="shared" si="116"/>
        <v>0</v>
      </c>
      <c r="S120" s="80">
        <f t="shared" si="117"/>
        <v>0</v>
      </c>
      <c r="T120" s="47"/>
      <c r="U120" s="84"/>
      <c r="V120" s="72">
        <v>88</v>
      </c>
      <c r="W120" s="47" t="e">
        <f>IF(Z119&gt;0.005,"April","")</f>
        <v>#NAME?</v>
      </c>
      <c r="X120" s="80" t="e">
        <f t="shared" si="118"/>
        <v>#NAME?</v>
      </c>
      <c r="Y120" s="80"/>
      <c r="Z120" s="80" t="e">
        <f t="shared" si="119"/>
        <v>#NAME?</v>
      </c>
      <c r="AA120" s="47"/>
      <c r="AB120" s="84"/>
      <c r="AC120" s="83"/>
      <c r="AD120" s="47" t="str">
        <f>IF(AG119&gt;0.005,"April","")</f>
        <v/>
      </c>
      <c r="AE120" s="80">
        <f t="shared" si="120"/>
        <v>0</v>
      </c>
      <c r="AF120" s="80">
        <f t="shared" si="121"/>
        <v>0</v>
      </c>
      <c r="AG120" s="80">
        <f t="shared" si="122"/>
        <v>0</v>
      </c>
      <c r="AH120" s="47"/>
    </row>
    <row r="121" spans="2:34" x14ac:dyDescent="0.25">
      <c r="B121" s="72">
        <v>89</v>
      </c>
      <c r="C121" s="47" t="str">
        <f>IF(F120&gt;0.005,"May","")</f>
        <v>May</v>
      </c>
      <c r="D121" s="80">
        <f t="shared" si="123"/>
        <v>14922.08</v>
      </c>
      <c r="E121" s="80">
        <f t="shared" si="111"/>
        <v>9721.0369262268705</v>
      </c>
      <c r="F121" s="80">
        <f t="shared" si="112"/>
        <v>4357715.9004920367</v>
      </c>
      <c r="G121" s="47"/>
      <c r="I121" s="81">
        <f t="shared" si="113"/>
        <v>12932.472559617252</v>
      </c>
      <c r="J121" s="82">
        <f t="shared" si="114"/>
        <v>4.1000000000000002E-2</v>
      </c>
      <c r="K121" s="81"/>
      <c r="L121" s="81">
        <f t="shared" si="115"/>
        <v>3772310.7720539551</v>
      </c>
      <c r="M121" s="83">
        <f t="shared" si="110"/>
        <v>13984.746836188562</v>
      </c>
      <c r="N121" s="84"/>
      <c r="O121" s="72">
        <v>89</v>
      </c>
      <c r="P121" s="47" t="str">
        <f>IF(S120&gt;0.005,"May","")</f>
        <v/>
      </c>
      <c r="Q121" s="80">
        <f t="shared" si="124"/>
        <v>0</v>
      </c>
      <c r="R121" s="80">
        <f t="shared" si="116"/>
        <v>0</v>
      </c>
      <c r="S121" s="80">
        <f t="shared" si="117"/>
        <v>0</v>
      </c>
      <c r="T121" s="47"/>
      <c r="U121" s="84"/>
      <c r="V121" s="72">
        <v>89</v>
      </c>
      <c r="W121" s="47" t="e">
        <f>IF(Z120&gt;0.005,"May","")</f>
        <v>#NAME?</v>
      </c>
      <c r="X121" s="80" t="e">
        <f t="shared" si="118"/>
        <v>#NAME?</v>
      </c>
      <c r="Y121" s="80"/>
      <c r="Z121" s="80" t="e">
        <f t="shared" si="119"/>
        <v>#NAME?</v>
      </c>
      <c r="AA121" s="47"/>
      <c r="AB121" s="84"/>
      <c r="AC121" s="83"/>
      <c r="AD121" s="47" t="str">
        <f>IF(AG120&gt;0.005,"May","")</f>
        <v/>
      </c>
      <c r="AE121" s="80">
        <f t="shared" si="120"/>
        <v>0</v>
      </c>
      <c r="AF121" s="80">
        <f t="shared" si="121"/>
        <v>0</v>
      </c>
      <c r="AG121" s="80">
        <f t="shared" si="122"/>
        <v>0</v>
      </c>
      <c r="AH121" s="47"/>
    </row>
    <row r="122" spans="2:34" x14ac:dyDescent="0.25">
      <c r="B122" s="72">
        <v>90</v>
      </c>
      <c r="C122" s="47" t="str">
        <f>IF(F121&gt;0.005,"June","")</f>
        <v>June</v>
      </c>
      <c r="D122" s="80">
        <f t="shared" si="123"/>
        <v>14888.86</v>
      </c>
      <c r="E122" s="80">
        <f t="shared" si="111"/>
        <v>9754.2569262268698</v>
      </c>
      <c r="F122" s="80">
        <f t="shared" si="112"/>
        <v>4347961.6435658103</v>
      </c>
      <c r="G122" s="47"/>
      <c r="I122" s="81">
        <f t="shared" si="113"/>
        <v>12888.728471184348</v>
      </c>
      <c r="J122" s="82">
        <f t="shared" si="114"/>
        <v>4.1000000000000002E-2</v>
      </c>
      <c r="K122" s="81"/>
      <c r="L122" s="81">
        <f t="shared" si="115"/>
        <v>3759550.9308674829</v>
      </c>
      <c r="M122" s="83">
        <f t="shared" si="110"/>
        <v>13988.824985246947</v>
      </c>
      <c r="N122" s="84"/>
      <c r="O122" s="72">
        <v>90</v>
      </c>
      <c r="P122" s="47" t="str">
        <f>IF(S121&gt;0.005,"June","")</f>
        <v/>
      </c>
      <c r="Q122" s="80">
        <f t="shared" si="124"/>
        <v>0</v>
      </c>
      <c r="R122" s="80">
        <f t="shared" si="116"/>
        <v>0</v>
      </c>
      <c r="S122" s="80">
        <f t="shared" si="117"/>
        <v>0</v>
      </c>
      <c r="T122" s="47"/>
      <c r="U122" s="84"/>
      <c r="V122" s="72">
        <v>90</v>
      </c>
      <c r="W122" s="47" t="e">
        <f>IF(Z121&gt;0.005,"June","")</f>
        <v>#NAME?</v>
      </c>
      <c r="X122" s="80" t="e">
        <f t="shared" si="118"/>
        <v>#NAME?</v>
      </c>
      <c r="Y122" s="80"/>
      <c r="Z122" s="80" t="e">
        <f t="shared" si="119"/>
        <v>#NAME?</v>
      </c>
      <c r="AA122" s="47"/>
      <c r="AB122" s="84"/>
      <c r="AC122" s="83"/>
      <c r="AD122" s="47" t="str">
        <f>IF(AG121&gt;0.005,"June","")</f>
        <v/>
      </c>
      <c r="AE122" s="80">
        <f t="shared" si="120"/>
        <v>0</v>
      </c>
      <c r="AF122" s="80">
        <f t="shared" si="121"/>
        <v>0</v>
      </c>
      <c r="AG122" s="80">
        <f t="shared" si="122"/>
        <v>0</v>
      </c>
      <c r="AH122" s="47"/>
    </row>
    <row r="123" spans="2:34" x14ac:dyDescent="0.25">
      <c r="B123" s="72">
        <v>91</v>
      </c>
      <c r="C123" s="47" t="str">
        <f>IF(F122&gt;0.005,"July","")</f>
        <v>July</v>
      </c>
      <c r="D123" s="80">
        <f t="shared" si="123"/>
        <v>14855.54</v>
      </c>
      <c r="E123" s="80">
        <f t="shared" si="111"/>
        <v>9787.5769262268695</v>
      </c>
      <c r="F123" s="80">
        <f t="shared" si="112"/>
        <v>4338174.0666395836</v>
      </c>
      <c r="G123" s="47"/>
      <c r="I123" s="81">
        <f t="shared" si="113"/>
        <v>12845.132347130568</v>
      </c>
      <c r="J123" s="82">
        <f t="shared" si="114"/>
        <v>4.1000000000000002E-2</v>
      </c>
      <c r="K123" s="81"/>
      <c r="L123" s="81">
        <f t="shared" si="115"/>
        <v>3746834.2498438237</v>
      </c>
      <c r="M123" s="83">
        <f t="shared" si="110"/>
        <v>13993.096271384225</v>
      </c>
      <c r="N123" s="84"/>
      <c r="O123" s="72">
        <v>91</v>
      </c>
      <c r="P123" s="47" t="str">
        <f>IF(S122&gt;0.005,"July","")</f>
        <v/>
      </c>
      <c r="Q123" s="80">
        <f t="shared" si="124"/>
        <v>0</v>
      </c>
      <c r="R123" s="80">
        <f t="shared" si="116"/>
        <v>0</v>
      </c>
      <c r="S123" s="80">
        <f t="shared" si="117"/>
        <v>0</v>
      </c>
      <c r="T123" s="47"/>
      <c r="U123" s="84"/>
      <c r="V123" s="72">
        <v>91</v>
      </c>
      <c r="W123" s="47" t="e">
        <f>IF(Z122&gt;0.005,"July","")</f>
        <v>#NAME?</v>
      </c>
      <c r="X123" s="80" t="e">
        <f t="shared" si="118"/>
        <v>#NAME?</v>
      </c>
      <c r="Y123" s="80"/>
      <c r="Z123" s="80" t="e">
        <f t="shared" si="119"/>
        <v>#NAME?</v>
      </c>
      <c r="AA123" s="47"/>
      <c r="AB123" s="84"/>
      <c r="AC123" s="83"/>
      <c r="AD123" s="47" t="str">
        <f>IF(AG122&gt;0.005,"July","")</f>
        <v/>
      </c>
      <c r="AE123" s="80">
        <f t="shared" si="120"/>
        <v>0</v>
      </c>
      <c r="AF123" s="80">
        <f t="shared" si="121"/>
        <v>0</v>
      </c>
      <c r="AG123" s="80">
        <f t="shared" si="122"/>
        <v>0</v>
      </c>
      <c r="AH123" s="47"/>
    </row>
    <row r="124" spans="2:34" x14ac:dyDescent="0.25">
      <c r="B124" s="72">
        <v>92</v>
      </c>
      <c r="C124" s="47" t="str">
        <f>IF(F123&gt;0.005,"August","")</f>
        <v>August</v>
      </c>
      <c r="D124" s="80">
        <f t="shared" si="123"/>
        <v>14822.09</v>
      </c>
      <c r="E124" s="80">
        <f t="shared" si="111"/>
        <v>9821.0269262268703</v>
      </c>
      <c r="F124" s="80">
        <f t="shared" si="112"/>
        <v>4328353.0397133566</v>
      </c>
      <c r="G124" s="47"/>
      <c r="I124" s="81">
        <f t="shared" si="113"/>
        <v>12801.683686966398</v>
      </c>
      <c r="J124" s="82">
        <f t="shared" si="114"/>
        <v>4.1000000000000002E-2</v>
      </c>
      <c r="K124" s="81"/>
      <c r="L124" s="81">
        <f t="shared" si="115"/>
        <v>3734160.5829937267</v>
      </c>
      <c r="M124" s="83">
        <f t="shared" si="110"/>
        <v>13997.562301032915</v>
      </c>
      <c r="N124" s="84"/>
      <c r="O124" s="72">
        <v>92</v>
      </c>
      <c r="P124" s="47" t="str">
        <f>IF(S123&gt;0.005,"August","")</f>
        <v/>
      </c>
      <c r="Q124" s="80">
        <f t="shared" si="124"/>
        <v>0</v>
      </c>
      <c r="R124" s="80">
        <f t="shared" si="116"/>
        <v>0</v>
      </c>
      <c r="S124" s="80">
        <f t="shared" si="117"/>
        <v>0</v>
      </c>
      <c r="T124" s="47"/>
      <c r="U124" s="84"/>
      <c r="V124" s="72">
        <v>92</v>
      </c>
      <c r="W124" s="47" t="e">
        <f>IF(Z123&gt;0.005,"August","")</f>
        <v>#NAME?</v>
      </c>
      <c r="X124" s="80" t="e">
        <f t="shared" si="118"/>
        <v>#NAME?</v>
      </c>
      <c r="Y124" s="80"/>
      <c r="Z124" s="80" t="e">
        <f t="shared" si="119"/>
        <v>#NAME?</v>
      </c>
      <c r="AA124" s="47"/>
      <c r="AB124" s="84"/>
      <c r="AC124" s="83"/>
      <c r="AD124" s="47" t="str">
        <f>IF(AG123&gt;0.005,"August","")</f>
        <v/>
      </c>
      <c r="AE124" s="80">
        <f t="shared" si="120"/>
        <v>0</v>
      </c>
      <c r="AF124" s="80">
        <f t="shared" si="121"/>
        <v>0</v>
      </c>
      <c r="AG124" s="80">
        <f t="shared" si="122"/>
        <v>0</v>
      </c>
      <c r="AH124" s="47"/>
    </row>
    <row r="125" spans="2:34" x14ac:dyDescent="0.25">
      <c r="B125" s="72">
        <v>93</v>
      </c>
      <c r="C125" s="47" t="str">
        <f>IF(F124&gt;0.005,"September","")</f>
        <v>September</v>
      </c>
      <c r="D125" s="80">
        <f t="shared" si="123"/>
        <v>14788.54</v>
      </c>
      <c r="E125" s="80">
        <f t="shared" si="111"/>
        <v>9854.5769262268695</v>
      </c>
      <c r="F125" s="80">
        <f t="shared" si="112"/>
        <v>4318498.4627871299</v>
      </c>
      <c r="G125" s="47"/>
      <c r="I125" s="81">
        <f t="shared" si="113"/>
        <v>12758.381991895234</v>
      </c>
      <c r="J125" s="82">
        <f t="shared" si="114"/>
        <v>4.1000000000000002E-2</v>
      </c>
      <c r="K125" s="81"/>
      <c r="L125" s="81">
        <f t="shared" si="115"/>
        <v>3721529.7848217501</v>
      </c>
      <c r="M125" s="83">
        <f t="shared" si="110"/>
        <v>14002.22470658756</v>
      </c>
      <c r="N125" s="84"/>
      <c r="O125" s="72">
        <v>93</v>
      </c>
      <c r="P125" s="47" t="str">
        <f>IF(S124&gt;0.005,"September","")</f>
        <v/>
      </c>
      <c r="Q125" s="80">
        <f t="shared" si="124"/>
        <v>0</v>
      </c>
      <c r="R125" s="80">
        <f t="shared" si="116"/>
        <v>0</v>
      </c>
      <c r="S125" s="80">
        <f t="shared" si="117"/>
        <v>0</v>
      </c>
      <c r="T125" s="47"/>
      <c r="U125" s="84"/>
      <c r="V125" s="72">
        <v>93</v>
      </c>
      <c r="W125" s="47" t="e">
        <f>IF(Z124&gt;0.005,"September","")</f>
        <v>#NAME?</v>
      </c>
      <c r="X125" s="80" t="e">
        <f t="shared" si="118"/>
        <v>#NAME?</v>
      </c>
      <c r="Y125" s="80"/>
      <c r="Z125" s="80" t="e">
        <f t="shared" si="119"/>
        <v>#NAME?</v>
      </c>
      <c r="AA125" s="47"/>
      <c r="AB125" s="84"/>
      <c r="AC125" s="83"/>
      <c r="AD125" s="47" t="str">
        <f>IF(AG124&gt;0.005,"September","")</f>
        <v/>
      </c>
      <c r="AE125" s="80">
        <f t="shared" si="120"/>
        <v>0</v>
      </c>
      <c r="AF125" s="80">
        <f t="shared" si="121"/>
        <v>0</v>
      </c>
      <c r="AG125" s="80">
        <f t="shared" si="122"/>
        <v>0</v>
      </c>
      <c r="AH125" s="47"/>
    </row>
    <row r="126" spans="2:34" x14ac:dyDescent="0.25">
      <c r="B126" s="72">
        <v>94</v>
      </c>
      <c r="C126" s="47" t="str">
        <f>IF(F125&gt;0.005,"October","")</f>
        <v>October</v>
      </c>
      <c r="D126" s="80">
        <f t="shared" si="123"/>
        <v>14754.87</v>
      </c>
      <c r="E126" s="80">
        <f t="shared" si="111"/>
        <v>9888.2469262268696</v>
      </c>
      <c r="F126" s="80">
        <f t="shared" si="112"/>
        <v>4308610.2158609033</v>
      </c>
      <c r="G126" s="47"/>
      <c r="I126" s="81">
        <f t="shared" si="113"/>
        <v>12715.226764807647</v>
      </c>
      <c r="J126" s="82">
        <f t="shared" si="114"/>
        <v>4.1000000000000002E-2</v>
      </c>
      <c r="K126" s="81"/>
      <c r="L126" s="81">
        <f t="shared" si="115"/>
        <v>3708941.7103245906</v>
      </c>
      <c r="M126" s="83">
        <f t="shared" si="110"/>
        <v>14007.085146886255</v>
      </c>
      <c r="N126" s="84"/>
      <c r="O126" s="72">
        <v>94</v>
      </c>
      <c r="P126" s="47" t="str">
        <f>IF(S125&gt;0.005,"October","")</f>
        <v/>
      </c>
      <c r="Q126" s="80">
        <f t="shared" si="124"/>
        <v>0</v>
      </c>
      <c r="R126" s="80">
        <f t="shared" si="116"/>
        <v>0</v>
      </c>
      <c r="S126" s="80">
        <f t="shared" si="117"/>
        <v>0</v>
      </c>
      <c r="T126" s="47"/>
      <c r="U126" s="84"/>
      <c r="V126" s="72">
        <v>94</v>
      </c>
      <c r="W126" s="47" t="e">
        <f>IF(Z125&gt;0.005,"October","")</f>
        <v>#NAME?</v>
      </c>
      <c r="X126" s="80" t="e">
        <f t="shared" si="118"/>
        <v>#NAME?</v>
      </c>
      <c r="Y126" s="80"/>
      <c r="Z126" s="80" t="e">
        <f t="shared" si="119"/>
        <v>#NAME?</v>
      </c>
      <c r="AA126" s="47"/>
      <c r="AB126" s="84"/>
      <c r="AC126" s="83"/>
      <c r="AD126" s="47" t="str">
        <f>IF(AG125&gt;0.005,"October","")</f>
        <v/>
      </c>
      <c r="AE126" s="80">
        <f t="shared" si="120"/>
        <v>0</v>
      </c>
      <c r="AF126" s="80">
        <f t="shared" si="121"/>
        <v>0</v>
      </c>
      <c r="AG126" s="80">
        <f t="shared" si="122"/>
        <v>0</v>
      </c>
      <c r="AH126" s="47"/>
    </row>
    <row r="127" spans="2:34" x14ac:dyDescent="0.25">
      <c r="B127" s="72">
        <v>95</v>
      </c>
      <c r="C127" s="47" t="str">
        <f>IF(F126&gt;0.005,"November","")</f>
        <v>November</v>
      </c>
      <c r="D127" s="80">
        <f t="shared" si="123"/>
        <v>14721.08</v>
      </c>
      <c r="E127" s="80">
        <f t="shared" si="111"/>
        <v>9922.0369262268705</v>
      </c>
      <c r="F127" s="80">
        <f t="shared" si="112"/>
        <v>4298688.1789346766</v>
      </c>
      <c r="G127" s="47"/>
      <c r="I127" s="81">
        <f t="shared" si="113"/>
        <v>12672.217510275686</v>
      </c>
      <c r="J127" s="82">
        <f t="shared" si="114"/>
        <v>4.1000000000000002E-2</v>
      </c>
      <c r="K127" s="81"/>
      <c r="L127" s="81">
        <f t="shared" si="115"/>
        <v>3696396.2149894177</v>
      </c>
      <c r="M127" s="83">
        <f t="shared" si="110"/>
        <v>14012.145307703131</v>
      </c>
      <c r="N127" s="84"/>
      <c r="O127" s="72">
        <v>95</v>
      </c>
      <c r="P127" s="47" t="str">
        <f>IF(S126&gt;0.005,"November","")</f>
        <v/>
      </c>
      <c r="Q127" s="80">
        <f t="shared" si="124"/>
        <v>0</v>
      </c>
      <c r="R127" s="80">
        <f t="shared" si="116"/>
        <v>0</v>
      </c>
      <c r="S127" s="80">
        <f t="shared" si="117"/>
        <v>0</v>
      </c>
      <c r="T127" s="47"/>
      <c r="U127" s="84"/>
      <c r="V127" s="72">
        <v>95</v>
      </c>
      <c r="W127" s="47" t="e">
        <f>IF(Z126&gt;0.005,"November","")</f>
        <v>#NAME?</v>
      </c>
      <c r="X127" s="80" t="e">
        <f t="shared" si="118"/>
        <v>#NAME?</v>
      </c>
      <c r="Y127" s="80"/>
      <c r="Z127" s="80" t="e">
        <f t="shared" si="119"/>
        <v>#NAME?</v>
      </c>
      <c r="AA127" s="47"/>
      <c r="AB127" s="84"/>
      <c r="AC127" s="83"/>
      <c r="AD127" s="47" t="str">
        <f>IF(AG126&gt;0.005,"November","")</f>
        <v/>
      </c>
      <c r="AE127" s="80">
        <f t="shared" si="120"/>
        <v>0</v>
      </c>
      <c r="AF127" s="80">
        <f t="shared" si="121"/>
        <v>0</v>
      </c>
      <c r="AG127" s="80">
        <f t="shared" si="122"/>
        <v>0</v>
      </c>
      <c r="AH127" s="47"/>
    </row>
    <row r="128" spans="2:34" x14ac:dyDescent="0.25">
      <c r="B128" s="72">
        <v>96</v>
      </c>
      <c r="C128" s="47" t="str">
        <f>IF(F127&gt;0.005,"December","")</f>
        <v>December</v>
      </c>
      <c r="D128" s="80">
        <f>IF(F127&gt;0,ROUND(F127*($F$6/12),2),0)</f>
        <v>14687.18</v>
      </c>
      <c r="E128" s="80">
        <f t="shared" si="111"/>
        <v>9955.9369262268701</v>
      </c>
      <c r="F128" s="80">
        <f t="shared" si="112"/>
        <v>4288732.2420084495</v>
      </c>
      <c r="G128" s="47"/>
      <c r="I128" s="81">
        <f t="shared" si="113"/>
        <v>12629.353734547178</v>
      </c>
      <c r="J128" s="82">
        <f t="shared" si="114"/>
        <v>4.1000000000000002E-2</v>
      </c>
      <c r="K128" s="81"/>
      <c r="L128" s="81">
        <f t="shared" si="115"/>
        <v>3683893.1547922157</v>
      </c>
      <c r="M128" s="83">
        <f t="shared" si="110"/>
        <v>14017.406902252016</v>
      </c>
      <c r="N128" s="84"/>
      <c r="O128" s="72">
        <v>96</v>
      </c>
      <c r="P128" s="47" t="str">
        <f>IF(S127&gt;0.005,"December","")</f>
        <v/>
      </c>
      <c r="Q128" s="80">
        <f t="shared" si="124"/>
        <v>0</v>
      </c>
      <c r="R128" s="80">
        <f t="shared" si="116"/>
        <v>0</v>
      </c>
      <c r="S128" s="80">
        <f t="shared" si="117"/>
        <v>0</v>
      </c>
      <c r="T128" s="47"/>
      <c r="U128" s="84"/>
      <c r="V128" s="72">
        <v>96</v>
      </c>
      <c r="W128" s="47" t="e">
        <f>IF(Z127&gt;0.005,"December","")</f>
        <v>#NAME?</v>
      </c>
      <c r="X128" s="80" t="e">
        <f t="shared" si="118"/>
        <v>#NAME?</v>
      </c>
      <c r="Y128" s="80"/>
      <c r="Z128" s="80" t="e">
        <f t="shared" si="119"/>
        <v>#NAME?</v>
      </c>
      <c r="AA128" s="47"/>
      <c r="AB128" s="84"/>
      <c r="AC128" s="83"/>
      <c r="AD128" s="47" t="str">
        <f>IF(AG127&gt;0.005,"December","")</f>
        <v/>
      </c>
      <c r="AE128" s="80">
        <f t="shared" si="120"/>
        <v>0</v>
      </c>
      <c r="AF128" s="80">
        <f t="shared" si="121"/>
        <v>0</v>
      </c>
      <c r="AG128" s="80">
        <f t="shared" si="122"/>
        <v>0</v>
      </c>
      <c r="AH128" s="47"/>
    </row>
    <row r="129" spans="2:34" x14ac:dyDescent="0.25">
      <c r="B129" s="46"/>
      <c r="C129" s="85" t="str">
        <f>"Total "&amp;YEAR($C$9)+7</f>
        <v>Total 2026</v>
      </c>
      <c r="D129" s="86">
        <f>SUM(D117:D128)</f>
        <v>178458.41999999998</v>
      </c>
      <c r="E129" s="86">
        <f>SUM(E117:E128)</f>
        <v>117258.98311472245</v>
      </c>
      <c r="F129" s="87"/>
      <c r="G129" s="47"/>
      <c r="I129" s="86">
        <f>SUM(I117:I128)</f>
        <v>154413.50508922388</v>
      </c>
      <c r="J129" s="46"/>
      <c r="K129" s="86">
        <f>SUM(K117:K128)</f>
        <v>0</v>
      </c>
      <c r="L129" s="46"/>
      <c r="M129" s="46"/>
      <c r="O129" s="46"/>
      <c r="P129" s="85" t="str">
        <f>"Total "&amp;YEAR($C$9)+7</f>
        <v>Total 2026</v>
      </c>
      <c r="Q129" s="86">
        <f>SUM(Q117:Q128)</f>
        <v>0</v>
      </c>
      <c r="R129" s="86">
        <f>SUM(R117:R128)</f>
        <v>0</v>
      </c>
      <c r="S129" s="87"/>
      <c r="T129" s="47"/>
      <c r="V129" s="46"/>
      <c r="W129" s="85" t="str">
        <f>"Total "&amp;YEAR($C$9)+7</f>
        <v>Total 2026</v>
      </c>
      <c r="X129" s="86" t="e">
        <f>SUM(X117:X128)</f>
        <v>#NAME?</v>
      </c>
      <c r="Y129" s="86">
        <f>SUM(Y117:Y128)</f>
        <v>0</v>
      </c>
      <c r="Z129" s="87"/>
      <c r="AA129" s="47"/>
      <c r="AC129" s="46"/>
      <c r="AD129" s="85" t="str">
        <f>"Total "&amp;YEAR($C$9)+7</f>
        <v>Total 2026</v>
      </c>
      <c r="AE129" s="86">
        <f>SUM(AE117:AE128)</f>
        <v>0</v>
      </c>
      <c r="AF129" s="86">
        <f>SUM(AF117:AF128)</f>
        <v>0</v>
      </c>
      <c r="AG129" s="87"/>
      <c r="AH129" s="47"/>
    </row>
    <row r="130" spans="2:34" x14ac:dyDescent="0.25">
      <c r="B130" s="46"/>
      <c r="C130" s="50"/>
      <c r="D130" s="88"/>
      <c r="E130" s="88"/>
      <c r="F130" s="80"/>
      <c r="G130" s="47"/>
      <c r="I130" s="46"/>
      <c r="J130" s="46"/>
      <c r="K130" s="46"/>
      <c r="L130" s="46"/>
      <c r="M130" s="46"/>
      <c r="O130" s="46"/>
      <c r="P130" s="50"/>
      <c r="Q130" s="88"/>
      <c r="R130" s="88"/>
      <c r="S130" s="80"/>
      <c r="T130" s="47"/>
      <c r="V130" s="46"/>
      <c r="W130" s="50"/>
      <c r="X130" s="88"/>
      <c r="Y130" s="88"/>
      <c r="Z130" s="80"/>
      <c r="AA130" s="47"/>
      <c r="AC130" s="46"/>
      <c r="AD130" s="50"/>
      <c r="AE130" s="88"/>
      <c r="AF130" s="88"/>
      <c r="AG130" s="80"/>
      <c r="AH130" s="47"/>
    </row>
    <row r="131" spans="2:34" x14ac:dyDescent="0.25">
      <c r="B131" s="46"/>
      <c r="C131" s="47"/>
      <c r="D131" s="75" t="s">
        <v>62</v>
      </c>
      <c r="E131" s="75" t="s">
        <v>63</v>
      </c>
      <c r="F131" s="75" t="s">
        <v>64</v>
      </c>
      <c r="G131" s="47"/>
      <c r="I131" s="46"/>
      <c r="J131" s="46"/>
      <c r="K131" s="46"/>
      <c r="L131" s="46"/>
      <c r="M131" s="46"/>
      <c r="O131" s="46"/>
      <c r="P131" s="47"/>
      <c r="Q131" s="75" t="s">
        <v>62</v>
      </c>
      <c r="R131" s="75" t="s">
        <v>63</v>
      </c>
      <c r="S131" s="75" t="s">
        <v>64</v>
      </c>
      <c r="T131" s="47"/>
      <c r="V131" s="46"/>
      <c r="W131" s="47"/>
      <c r="X131" s="75" t="s">
        <v>62</v>
      </c>
      <c r="Y131" s="75" t="s">
        <v>63</v>
      </c>
      <c r="Z131" s="75" t="s">
        <v>64</v>
      </c>
      <c r="AA131" s="47"/>
      <c r="AC131" s="46"/>
      <c r="AD131" s="47"/>
      <c r="AE131" s="75" t="s">
        <v>62</v>
      </c>
      <c r="AF131" s="75" t="s">
        <v>63</v>
      </c>
      <c r="AG131" s="75" t="s">
        <v>64</v>
      </c>
      <c r="AH131" s="47"/>
    </row>
    <row r="132" spans="2:34" x14ac:dyDescent="0.25">
      <c r="B132" s="72">
        <v>97</v>
      </c>
      <c r="C132" s="47" t="str">
        <f>IF(F128&gt;0.005,"January","")</f>
        <v>January</v>
      </c>
      <c r="D132" s="80">
        <f>IF(F128&gt;0,ROUND(F128*($F$6/12),2),0)</f>
        <v>14653.17</v>
      </c>
      <c r="E132" s="80">
        <f>IF(F128&lt;$D$8,F128,$D$8-D132)</f>
        <v>9989.9469262268703</v>
      </c>
      <c r="F132" s="80">
        <f>IF(F128-E132&gt;0,F128-E132,0)</f>
        <v>4278742.2950822227</v>
      </c>
      <c r="G132" s="47"/>
      <c r="I132" s="81">
        <f>L128*J132/12</f>
        <v>12586.63494554007</v>
      </c>
      <c r="J132" s="82">
        <f>$F$6</f>
        <v>4.1000000000000002E-2</v>
      </c>
      <c r="K132" s="81"/>
      <c r="L132" s="81">
        <f>MAX(L128+L128*($F$6/100)/12-I132-K132,0)</f>
        <v>3671432.3861961309</v>
      </c>
      <c r="M132" s="83">
        <f t="shared" ref="M132:M143" si="125">-PMT(($F$6/100)/12,$D$7-B132,L132,0,0)</f>
        <v>14022.871671701636</v>
      </c>
      <c r="N132" s="84"/>
      <c r="O132" s="72">
        <v>97</v>
      </c>
      <c r="P132" s="47" t="str">
        <f>IF(S128&gt;0.005,"January","")</f>
        <v/>
      </c>
      <c r="Q132" s="80">
        <f>IF(O132&lt;$S$7,"",IF(O132=$S$7,$Q$6*($S$6/12),S128*($S$6/12)))</f>
        <v>0</v>
      </c>
      <c r="R132" s="80">
        <f>IF(O132&lt;$S$7,"",$Q$8-Q132)</f>
        <v>0</v>
      </c>
      <c r="S132" s="80">
        <f>IF(O132&lt;$S$7,"",IF(O132=$S$7,$Q$6-R132,S128-R132))</f>
        <v>0</v>
      </c>
      <c r="T132" s="47"/>
      <c r="U132" s="84"/>
      <c r="V132" s="72">
        <v>97</v>
      </c>
      <c r="W132" s="47" t="e">
        <f>IF(Z128&gt;0.005,"January","")</f>
        <v>#NAME?</v>
      </c>
      <c r="X132" s="80" t="e">
        <f>IF(V132&lt;$Z$7,"",($Z$6/12)*$X$6)</f>
        <v>#NAME?</v>
      </c>
      <c r="Y132" s="80"/>
      <c r="Z132" s="80" t="e">
        <f>IF(V132&lt;$S$7,"",$X$6)</f>
        <v>#NAME?</v>
      </c>
      <c r="AA132" s="47"/>
      <c r="AB132" s="84"/>
      <c r="AC132" s="83"/>
      <c r="AD132" s="47" t="str">
        <f>IF(AG128&gt;0.005,"January","")</f>
        <v/>
      </c>
      <c r="AE132" s="80">
        <f>IF(AG128&gt;0,ROUND(AG128*($AG$6/1200),2),0)</f>
        <v>0</v>
      </c>
      <c r="AF132" s="80">
        <f>IF(AG128&lt;$AE$8,AG128,$AE$8-AE132)</f>
        <v>0</v>
      </c>
      <c r="AG132" s="80">
        <f>IF(AG128-AF132&gt;0,AG128-AF132,0)</f>
        <v>0</v>
      </c>
      <c r="AH132" s="47"/>
    </row>
    <row r="133" spans="2:34" x14ac:dyDescent="0.25">
      <c r="B133" s="72">
        <v>98</v>
      </c>
      <c r="C133" s="47" t="str">
        <f>IF(F132&gt;0.005,"February","")</f>
        <v>February</v>
      </c>
      <c r="D133" s="80">
        <f>IF(F132&gt;0,ROUND(F132*($F$6/12),2),0)</f>
        <v>14619.04</v>
      </c>
      <c r="E133" s="80">
        <f t="shared" ref="E133:E143" si="126">IF(F132&lt;$D$8,F132,$D$8-D133)</f>
        <v>10024.07692622687</v>
      </c>
      <c r="F133" s="80">
        <f t="shared" ref="F133:F143" si="127">IF(F132-E133&gt;0,F132-E133,0)</f>
        <v>4268718.2181559959</v>
      </c>
      <c r="G133" s="47"/>
      <c r="I133" s="81">
        <f t="shared" ref="I133:I143" si="128">L132*J133/12</f>
        <v>12544.060652836781</v>
      </c>
      <c r="J133" s="82">
        <f t="shared" ref="J133:J143" si="129">$F$6</f>
        <v>4.1000000000000002E-2</v>
      </c>
      <c r="K133" s="81"/>
      <c r="L133" s="81">
        <f t="shared" ref="L133:L143" si="130">MAX(L132+L132*($F$6/100)/12-I133-K133,0)</f>
        <v>3659013.7661498226</v>
      </c>
      <c r="M133" s="83">
        <f t="shared" si="125"/>
        <v>14028.541385702632</v>
      </c>
      <c r="N133" s="84"/>
      <c r="O133" s="72">
        <v>98</v>
      </c>
      <c r="P133" s="47" t="str">
        <f>IF(S132&gt;0.005,"February","")</f>
        <v/>
      </c>
      <c r="Q133" s="80">
        <f>IF(O133&lt;$S$7,"",IF(O133=$S$7,$Q$6*($S$6/12),S132*($S$6/12)))</f>
        <v>0</v>
      </c>
      <c r="R133" s="80">
        <f t="shared" ref="R133:R143" si="131">IF(O133&lt;$S$7,"",$Q$8-Q133)</f>
        <v>0</v>
      </c>
      <c r="S133" s="80">
        <f t="shared" ref="S133:S143" si="132">IF(O133&lt;$S$7,"",IF(O133=$S$7,$Q$6-R133,S132-R133))</f>
        <v>0</v>
      </c>
      <c r="T133" s="47"/>
      <c r="U133" s="84"/>
      <c r="V133" s="72">
        <v>98</v>
      </c>
      <c r="W133" s="47" t="e">
        <f>IF(Z132&gt;0.005,"February","")</f>
        <v>#NAME?</v>
      </c>
      <c r="X133" s="80" t="e">
        <f t="shared" ref="X133:X143" si="133">IF(V133&lt;$Z$7,"",($Z$6/12)*$X$6)</f>
        <v>#NAME?</v>
      </c>
      <c r="Y133" s="80"/>
      <c r="Z133" s="80" t="e">
        <f t="shared" ref="Z133:Z143" si="134">IF(V133&lt;$S$7,"",$X$6)</f>
        <v>#NAME?</v>
      </c>
      <c r="AA133" s="47"/>
      <c r="AB133" s="84"/>
      <c r="AC133" s="83"/>
      <c r="AD133" s="47" t="str">
        <f>IF(AG132&gt;0.005,"February","")</f>
        <v/>
      </c>
      <c r="AE133" s="80">
        <f t="shared" ref="AE133:AE143" si="135">IF(AG132&gt;0,ROUND(AG132*($AG$6/1200),2),0)</f>
        <v>0</v>
      </c>
      <c r="AF133" s="80">
        <f t="shared" ref="AF133:AF143" si="136">IF(AG132&lt;$AE$8,AG132,$AE$8-AE133)</f>
        <v>0</v>
      </c>
      <c r="AG133" s="80">
        <f t="shared" ref="AG133:AG143" si="137">IF(AG132-AF133&gt;0,AG132-AF133,0)</f>
        <v>0</v>
      </c>
      <c r="AH133" s="47"/>
    </row>
    <row r="134" spans="2:34" x14ac:dyDescent="0.25">
      <c r="B134" s="72">
        <v>99</v>
      </c>
      <c r="C134" s="47" t="str">
        <f>IF(F133&gt;0.005,"March","")</f>
        <v>March</v>
      </c>
      <c r="D134" s="80">
        <f t="shared" ref="D134:D142" si="138">IF(F133&gt;0,ROUND(F133*($F$6/12),2),0)</f>
        <v>14584.79</v>
      </c>
      <c r="E134" s="80">
        <f t="shared" si="126"/>
        <v>10058.32692622687</v>
      </c>
      <c r="F134" s="80">
        <f t="shared" si="127"/>
        <v>4258659.8912297692</v>
      </c>
      <c r="G134" s="47"/>
      <c r="I134" s="81">
        <f t="shared" si="128"/>
        <v>12501.630367678561</v>
      </c>
      <c r="J134" s="82">
        <f t="shared" si="129"/>
        <v>4.1000000000000002E-2</v>
      </c>
      <c r="K134" s="81"/>
      <c r="L134" s="81">
        <f t="shared" si="130"/>
        <v>3646637.1520858207</v>
      </c>
      <c r="M134" s="83">
        <f t="shared" si="125"/>
        <v>14034.417842926699</v>
      </c>
      <c r="N134" s="84"/>
      <c r="O134" s="72">
        <v>99</v>
      </c>
      <c r="P134" s="47" t="str">
        <f>IF(S133&gt;0.005,"March","")</f>
        <v/>
      </c>
      <c r="Q134" s="80">
        <f t="shared" ref="Q134:Q143" si="139">IF(O134&lt;$S$7,"",IF(O134=$S$7,$Q$6*($S$6/12),S133*($S$6/12)))</f>
        <v>0</v>
      </c>
      <c r="R134" s="80">
        <f t="shared" si="131"/>
        <v>0</v>
      </c>
      <c r="S134" s="80">
        <f t="shared" si="132"/>
        <v>0</v>
      </c>
      <c r="T134" s="47"/>
      <c r="U134" s="84"/>
      <c r="V134" s="72">
        <v>99</v>
      </c>
      <c r="W134" s="47" t="e">
        <f>IF(Z133&gt;0.005,"March","")</f>
        <v>#NAME?</v>
      </c>
      <c r="X134" s="80" t="e">
        <f t="shared" si="133"/>
        <v>#NAME?</v>
      </c>
      <c r="Y134" s="80"/>
      <c r="Z134" s="80" t="e">
        <f t="shared" si="134"/>
        <v>#NAME?</v>
      </c>
      <c r="AA134" s="47"/>
      <c r="AB134" s="84"/>
      <c r="AC134" s="83"/>
      <c r="AD134" s="47" t="str">
        <f>IF(AG133&gt;0.005,"March","")</f>
        <v/>
      </c>
      <c r="AE134" s="80">
        <f t="shared" si="135"/>
        <v>0</v>
      </c>
      <c r="AF134" s="80">
        <f t="shared" si="136"/>
        <v>0</v>
      </c>
      <c r="AG134" s="80">
        <f t="shared" si="137"/>
        <v>0</v>
      </c>
      <c r="AH134" s="47"/>
    </row>
    <row r="135" spans="2:34" x14ac:dyDescent="0.25">
      <c r="B135" s="72">
        <v>100</v>
      </c>
      <c r="C135" s="47" t="str">
        <f>IF(F134&gt;0.005,"April","")</f>
        <v>April</v>
      </c>
      <c r="D135" s="80">
        <f t="shared" si="138"/>
        <v>14550.42</v>
      </c>
      <c r="E135" s="80">
        <f t="shared" si="126"/>
        <v>10092.69692622687</v>
      </c>
      <c r="F135" s="80">
        <f t="shared" si="127"/>
        <v>4248567.1943035424</v>
      </c>
      <c r="G135" s="47"/>
      <c r="I135" s="81">
        <f t="shared" si="128"/>
        <v>12459.343602959889</v>
      </c>
      <c r="J135" s="82">
        <f t="shared" si="129"/>
        <v>4.1000000000000002E-2</v>
      </c>
      <c r="K135" s="81"/>
      <c r="L135" s="81">
        <f t="shared" si="130"/>
        <v>3634302.4019188904</v>
      </c>
      <c r="M135" s="83">
        <f t="shared" si="125"/>
        <v>14040.502871618199</v>
      </c>
      <c r="N135" s="84"/>
      <c r="O135" s="72">
        <v>100</v>
      </c>
      <c r="P135" s="47" t="str">
        <f>IF(S134&gt;0.005,"April","")</f>
        <v/>
      </c>
      <c r="Q135" s="80">
        <f t="shared" si="139"/>
        <v>0</v>
      </c>
      <c r="R135" s="80">
        <f t="shared" si="131"/>
        <v>0</v>
      </c>
      <c r="S135" s="80">
        <f t="shared" si="132"/>
        <v>0</v>
      </c>
      <c r="T135" s="47"/>
      <c r="U135" s="84"/>
      <c r="V135" s="72">
        <v>100</v>
      </c>
      <c r="W135" s="47" t="e">
        <f>IF(Z134&gt;0.005,"April","")</f>
        <v>#NAME?</v>
      </c>
      <c r="X135" s="80" t="e">
        <f t="shared" si="133"/>
        <v>#NAME?</v>
      </c>
      <c r="Y135" s="80"/>
      <c r="Z135" s="80" t="e">
        <f t="shared" si="134"/>
        <v>#NAME?</v>
      </c>
      <c r="AA135" s="47"/>
      <c r="AB135" s="84"/>
      <c r="AC135" s="83"/>
      <c r="AD135" s="47" t="str">
        <f>IF(AG134&gt;0.005,"April","")</f>
        <v/>
      </c>
      <c r="AE135" s="80">
        <f t="shared" si="135"/>
        <v>0</v>
      </c>
      <c r="AF135" s="80">
        <f t="shared" si="136"/>
        <v>0</v>
      </c>
      <c r="AG135" s="80">
        <f t="shared" si="137"/>
        <v>0</v>
      </c>
      <c r="AH135" s="47"/>
    </row>
    <row r="136" spans="2:34" x14ac:dyDescent="0.25">
      <c r="B136" s="72">
        <v>101</v>
      </c>
      <c r="C136" s="47" t="str">
        <f>IF(F135&gt;0.005,"May","")</f>
        <v>May</v>
      </c>
      <c r="D136" s="80">
        <f t="shared" si="138"/>
        <v>14515.94</v>
      </c>
      <c r="E136" s="80">
        <f t="shared" si="126"/>
        <v>10127.17692622687</v>
      </c>
      <c r="F136" s="80">
        <f t="shared" si="127"/>
        <v>4238440.0173773151</v>
      </c>
      <c r="G136" s="47"/>
      <c r="I136" s="81">
        <f t="shared" si="128"/>
        <v>12417.199873222877</v>
      </c>
      <c r="J136" s="82">
        <f t="shared" si="129"/>
        <v>4.1000000000000002E-2</v>
      </c>
      <c r="K136" s="81"/>
      <c r="L136" s="81">
        <f t="shared" si="130"/>
        <v>3622009.3740443997</v>
      </c>
      <c r="M136" s="83">
        <f t="shared" si="125"/>
        <v>14046.798330158588</v>
      </c>
      <c r="N136" s="84"/>
      <c r="O136" s="72">
        <v>101</v>
      </c>
      <c r="P136" s="47" t="str">
        <f>IF(S135&gt;0.005,"May","")</f>
        <v/>
      </c>
      <c r="Q136" s="80">
        <f t="shared" si="139"/>
        <v>0</v>
      </c>
      <c r="R136" s="80">
        <f t="shared" si="131"/>
        <v>0</v>
      </c>
      <c r="S136" s="80">
        <f t="shared" si="132"/>
        <v>0</v>
      </c>
      <c r="T136" s="47"/>
      <c r="U136" s="84"/>
      <c r="V136" s="72">
        <v>101</v>
      </c>
      <c r="W136" s="47" t="e">
        <f>IF(Z135&gt;0.005,"May","")</f>
        <v>#NAME?</v>
      </c>
      <c r="X136" s="80" t="e">
        <f t="shared" si="133"/>
        <v>#NAME?</v>
      </c>
      <c r="Y136" s="80"/>
      <c r="Z136" s="80" t="e">
        <f t="shared" si="134"/>
        <v>#NAME?</v>
      </c>
      <c r="AA136" s="47"/>
      <c r="AB136" s="84"/>
      <c r="AC136" s="83"/>
      <c r="AD136" s="47" t="str">
        <f>IF(AG135&gt;0.005,"May","")</f>
        <v/>
      </c>
      <c r="AE136" s="80">
        <f t="shared" si="135"/>
        <v>0</v>
      </c>
      <c r="AF136" s="80">
        <f t="shared" si="136"/>
        <v>0</v>
      </c>
      <c r="AG136" s="80">
        <f t="shared" si="137"/>
        <v>0</v>
      </c>
      <c r="AH136" s="47"/>
    </row>
    <row r="137" spans="2:34" x14ac:dyDescent="0.25">
      <c r="B137" s="72">
        <v>102</v>
      </c>
      <c r="C137" s="47" t="str">
        <f>IF(F136&gt;0.005,"June","")</f>
        <v>June</v>
      </c>
      <c r="D137" s="80">
        <f t="shared" si="138"/>
        <v>14481.34</v>
      </c>
      <c r="E137" s="80">
        <f t="shared" si="126"/>
        <v>10161.77692622687</v>
      </c>
      <c r="F137" s="80">
        <f t="shared" si="127"/>
        <v>4228278.2404510882</v>
      </c>
      <c r="G137" s="47"/>
      <c r="I137" s="81">
        <f t="shared" si="128"/>
        <v>12375.198694651699</v>
      </c>
      <c r="J137" s="82">
        <f t="shared" si="129"/>
        <v>4.1000000000000002E-2</v>
      </c>
      <c r="K137" s="81"/>
      <c r="L137" s="81">
        <f t="shared" si="130"/>
        <v>3609757.9273366947</v>
      </c>
      <c r="M137" s="83">
        <f t="shared" si="125"/>
        <v>14053.306107643975</v>
      </c>
      <c r="N137" s="84"/>
      <c r="O137" s="72">
        <v>102</v>
      </c>
      <c r="P137" s="47" t="str">
        <f>IF(S136&gt;0.005,"June","")</f>
        <v/>
      </c>
      <c r="Q137" s="80">
        <f t="shared" si="139"/>
        <v>0</v>
      </c>
      <c r="R137" s="80">
        <f t="shared" si="131"/>
        <v>0</v>
      </c>
      <c r="S137" s="80">
        <f t="shared" si="132"/>
        <v>0</v>
      </c>
      <c r="T137" s="47"/>
      <c r="U137" s="84"/>
      <c r="V137" s="72">
        <v>102</v>
      </c>
      <c r="W137" s="47" t="e">
        <f>IF(Z136&gt;0.005,"June","")</f>
        <v>#NAME?</v>
      </c>
      <c r="X137" s="80" t="e">
        <f t="shared" si="133"/>
        <v>#NAME?</v>
      </c>
      <c r="Y137" s="80"/>
      <c r="Z137" s="80" t="e">
        <f t="shared" si="134"/>
        <v>#NAME?</v>
      </c>
      <c r="AA137" s="47"/>
      <c r="AB137" s="84"/>
      <c r="AC137" s="83"/>
      <c r="AD137" s="47" t="str">
        <f>IF(AG136&gt;0.005,"June","")</f>
        <v/>
      </c>
      <c r="AE137" s="80">
        <f t="shared" si="135"/>
        <v>0</v>
      </c>
      <c r="AF137" s="80">
        <f t="shared" si="136"/>
        <v>0</v>
      </c>
      <c r="AG137" s="80">
        <f t="shared" si="137"/>
        <v>0</v>
      </c>
      <c r="AH137" s="47"/>
    </row>
    <row r="138" spans="2:34" x14ac:dyDescent="0.25">
      <c r="B138" s="72">
        <v>103</v>
      </c>
      <c r="C138" s="47" t="str">
        <f>IF(F137&gt;0.005,"July","")</f>
        <v>July</v>
      </c>
      <c r="D138" s="80">
        <f t="shared" si="138"/>
        <v>14446.62</v>
      </c>
      <c r="E138" s="80">
        <f t="shared" si="126"/>
        <v>10196.49692622687</v>
      </c>
      <c r="F138" s="80">
        <f t="shared" si="127"/>
        <v>4218081.7435248615</v>
      </c>
      <c r="G138" s="47"/>
      <c r="I138" s="81">
        <f t="shared" si="128"/>
        <v>12333.33958506704</v>
      </c>
      <c r="J138" s="82">
        <f t="shared" si="129"/>
        <v>4.1000000000000002E-2</v>
      </c>
      <c r="K138" s="81"/>
      <c r="L138" s="81">
        <f t="shared" si="130"/>
        <v>3597547.9211474783</v>
      </c>
      <c r="M138" s="83">
        <f t="shared" si="125"/>
        <v>14060.02812447617</v>
      </c>
      <c r="N138" s="84"/>
      <c r="O138" s="72">
        <v>103</v>
      </c>
      <c r="P138" s="47" t="str">
        <f>IF(S137&gt;0.005,"July","")</f>
        <v/>
      </c>
      <c r="Q138" s="80">
        <f t="shared" si="139"/>
        <v>0</v>
      </c>
      <c r="R138" s="80">
        <f t="shared" si="131"/>
        <v>0</v>
      </c>
      <c r="S138" s="80">
        <f t="shared" si="132"/>
        <v>0</v>
      </c>
      <c r="T138" s="47"/>
      <c r="U138" s="84"/>
      <c r="V138" s="72">
        <v>103</v>
      </c>
      <c r="W138" s="47" t="e">
        <f>IF(Z137&gt;0.005,"July","")</f>
        <v>#NAME?</v>
      </c>
      <c r="X138" s="80" t="e">
        <f t="shared" si="133"/>
        <v>#NAME?</v>
      </c>
      <c r="Y138" s="80"/>
      <c r="Z138" s="80" t="e">
        <f t="shared" si="134"/>
        <v>#NAME?</v>
      </c>
      <c r="AA138" s="47"/>
      <c r="AB138" s="84"/>
      <c r="AC138" s="83"/>
      <c r="AD138" s="47" t="str">
        <f>IF(AG137&gt;0.005,"July","")</f>
        <v/>
      </c>
      <c r="AE138" s="80">
        <f t="shared" si="135"/>
        <v>0</v>
      </c>
      <c r="AF138" s="80">
        <f t="shared" si="136"/>
        <v>0</v>
      </c>
      <c r="AG138" s="80">
        <f t="shared" si="137"/>
        <v>0</v>
      </c>
      <c r="AH138" s="47"/>
    </row>
    <row r="139" spans="2:34" x14ac:dyDescent="0.25">
      <c r="B139" s="72">
        <v>104</v>
      </c>
      <c r="C139" s="47" t="str">
        <f>IF(F138&gt;0.005,"August","")</f>
        <v>August</v>
      </c>
      <c r="D139" s="80">
        <f t="shared" si="138"/>
        <v>14411.78</v>
      </c>
      <c r="E139" s="80">
        <f t="shared" si="126"/>
        <v>10231.33692622687</v>
      </c>
      <c r="F139" s="80">
        <f t="shared" si="127"/>
        <v>4207850.406598635</v>
      </c>
      <c r="G139" s="47"/>
      <c r="I139" s="81">
        <f t="shared" si="128"/>
        <v>12291.622063920551</v>
      </c>
      <c r="J139" s="82">
        <f t="shared" si="129"/>
        <v>4.1000000000000002E-2</v>
      </c>
      <c r="K139" s="81"/>
      <c r="L139" s="81">
        <f t="shared" si="130"/>
        <v>3585379.2153041973</v>
      </c>
      <c r="M139" s="83">
        <f t="shared" si="125"/>
        <v>14066.966332967668</v>
      </c>
      <c r="N139" s="84"/>
      <c r="O139" s="72">
        <v>104</v>
      </c>
      <c r="P139" s="47" t="str">
        <f>IF(S138&gt;0.005,"August","")</f>
        <v/>
      </c>
      <c r="Q139" s="80">
        <f t="shared" si="139"/>
        <v>0</v>
      </c>
      <c r="R139" s="80">
        <f t="shared" si="131"/>
        <v>0</v>
      </c>
      <c r="S139" s="80">
        <f t="shared" si="132"/>
        <v>0</v>
      </c>
      <c r="T139" s="47"/>
      <c r="U139" s="84"/>
      <c r="V139" s="72">
        <v>104</v>
      </c>
      <c r="W139" s="47" t="e">
        <f>IF(Z138&gt;0.005,"August","")</f>
        <v>#NAME?</v>
      </c>
      <c r="X139" s="80" t="e">
        <f t="shared" si="133"/>
        <v>#NAME?</v>
      </c>
      <c r="Y139" s="80"/>
      <c r="Z139" s="80" t="e">
        <f t="shared" si="134"/>
        <v>#NAME?</v>
      </c>
      <c r="AA139" s="47"/>
      <c r="AB139" s="84"/>
      <c r="AC139" s="83"/>
      <c r="AD139" s="47" t="str">
        <f>IF(AG138&gt;0.005,"August","")</f>
        <v/>
      </c>
      <c r="AE139" s="80">
        <f t="shared" si="135"/>
        <v>0</v>
      </c>
      <c r="AF139" s="80">
        <f t="shared" si="136"/>
        <v>0</v>
      </c>
      <c r="AG139" s="80">
        <f t="shared" si="137"/>
        <v>0</v>
      </c>
      <c r="AH139" s="47"/>
    </row>
    <row r="140" spans="2:34" x14ac:dyDescent="0.25">
      <c r="B140" s="72">
        <v>105</v>
      </c>
      <c r="C140" s="47" t="str">
        <f>IF(F139&gt;0.005,"September","")</f>
        <v>September</v>
      </c>
      <c r="D140" s="80">
        <f t="shared" si="138"/>
        <v>14376.82</v>
      </c>
      <c r="E140" s="80">
        <f t="shared" si="126"/>
        <v>10266.296926226871</v>
      </c>
      <c r="F140" s="80">
        <f t="shared" si="127"/>
        <v>4197584.1096724086</v>
      </c>
      <c r="G140" s="47"/>
      <c r="I140" s="81">
        <f t="shared" si="128"/>
        <v>12250.045652289342</v>
      </c>
      <c r="J140" s="82">
        <f t="shared" si="129"/>
        <v>4.1000000000000002E-2</v>
      </c>
      <c r="K140" s="81"/>
      <c r="L140" s="81">
        <f t="shared" si="130"/>
        <v>3573251.6701084306</v>
      </c>
      <c r="M140" s="83">
        <f t="shared" si="125"/>
        <v>14074.122717960805</v>
      </c>
      <c r="N140" s="84"/>
      <c r="O140" s="72">
        <v>105</v>
      </c>
      <c r="P140" s="47" t="str">
        <f>IF(S139&gt;0.005,"September","")</f>
        <v/>
      </c>
      <c r="Q140" s="80">
        <f t="shared" si="139"/>
        <v>0</v>
      </c>
      <c r="R140" s="80">
        <f t="shared" si="131"/>
        <v>0</v>
      </c>
      <c r="S140" s="80">
        <f t="shared" si="132"/>
        <v>0</v>
      </c>
      <c r="T140" s="47"/>
      <c r="U140" s="84"/>
      <c r="V140" s="72">
        <v>105</v>
      </c>
      <c r="W140" s="47" t="e">
        <f>IF(Z139&gt;0.005,"September","")</f>
        <v>#NAME?</v>
      </c>
      <c r="X140" s="80" t="e">
        <f t="shared" si="133"/>
        <v>#NAME?</v>
      </c>
      <c r="Y140" s="80"/>
      <c r="Z140" s="80" t="e">
        <f t="shared" si="134"/>
        <v>#NAME?</v>
      </c>
      <c r="AA140" s="47"/>
      <c r="AB140" s="84"/>
      <c r="AC140" s="83"/>
      <c r="AD140" s="47" t="str">
        <f>IF(AG139&gt;0.005,"September","")</f>
        <v/>
      </c>
      <c r="AE140" s="80">
        <f t="shared" si="135"/>
        <v>0</v>
      </c>
      <c r="AF140" s="80">
        <f t="shared" si="136"/>
        <v>0</v>
      </c>
      <c r="AG140" s="80">
        <f t="shared" si="137"/>
        <v>0</v>
      </c>
      <c r="AH140" s="47"/>
    </row>
    <row r="141" spans="2:34" x14ac:dyDescent="0.25">
      <c r="B141" s="72">
        <v>106</v>
      </c>
      <c r="C141" s="47" t="str">
        <f>IF(F140&gt;0.005,"October","")</f>
        <v>October</v>
      </c>
      <c r="D141" s="80">
        <f t="shared" si="138"/>
        <v>14341.75</v>
      </c>
      <c r="E141" s="80">
        <f t="shared" si="126"/>
        <v>10301.36692622687</v>
      </c>
      <c r="F141" s="80">
        <f t="shared" si="127"/>
        <v>4187282.7427461818</v>
      </c>
      <c r="G141" s="47"/>
      <c r="I141" s="81">
        <f t="shared" si="128"/>
        <v>12208.609872870473</v>
      </c>
      <c r="J141" s="82">
        <f t="shared" si="129"/>
        <v>4.1000000000000002E-2</v>
      </c>
      <c r="K141" s="81"/>
      <c r="L141" s="81">
        <f t="shared" si="130"/>
        <v>3561165.1463342886</v>
      </c>
      <c r="M141" s="83">
        <f t="shared" si="125"/>
        <v>14081.49929746164</v>
      </c>
      <c r="N141" s="84"/>
      <c r="O141" s="72">
        <v>106</v>
      </c>
      <c r="P141" s="47" t="str">
        <f>IF(S140&gt;0.005,"October","")</f>
        <v/>
      </c>
      <c r="Q141" s="80">
        <f t="shared" si="139"/>
        <v>0</v>
      </c>
      <c r="R141" s="80">
        <f t="shared" si="131"/>
        <v>0</v>
      </c>
      <c r="S141" s="80">
        <f t="shared" si="132"/>
        <v>0</v>
      </c>
      <c r="T141" s="47"/>
      <c r="U141" s="84"/>
      <c r="V141" s="72">
        <v>106</v>
      </c>
      <c r="W141" s="47" t="e">
        <f>IF(Z140&gt;0.005,"October","")</f>
        <v>#NAME?</v>
      </c>
      <c r="X141" s="80" t="e">
        <f t="shared" si="133"/>
        <v>#NAME?</v>
      </c>
      <c r="Y141" s="80"/>
      <c r="Z141" s="80" t="e">
        <f t="shared" si="134"/>
        <v>#NAME?</v>
      </c>
      <c r="AA141" s="47"/>
      <c r="AB141" s="84"/>
      <c r="AC141" s="83"/>
      <c r="AD141" s="47" t="str">
        <f>IF(AG140&gt;0.005,"October","")</f>
        <v/>
      </c>
      <c r="AE141" s="80">
        <f t="shared" si="135"/>
        <v>0</v>
      </c>
      <c r="AF141" s="80">
        <f t="shared" si="136"/>
        <v>0</v>
      </c>
      <c r="AG141" s="80">
        <f t="shared" si="137"/>
        <v>0</v>
      </c>
      <c r="AH141" s="47"/>
    </row>
    <row r="142" spans="2:34" x14ac:dyDescent="0.25">
      <c r="B142" s="72">
        <v>107</v>
      </c>
      <c r="C142" s="47" t="str">
        <f>IF(F141&gt;0.005,"November","")</f>
        <v>November</v>
      </c>
      <c r="D142" s="80">
        <f t="shared" si="138"/>
        <v>14306.55</v>
      </c>
      <c r="E142" s="80">
        <f t="shared" si="126"/>
        <v>10336.566926226871</v>
      </c>
      <c r="F142" s="80">
        <f t="shared" si="127"/>
        <v>4176946.1758199548</v>
      </c>
      <c r="G142" s="47"/>
      <c r="I142" s="81">
        <f t="shared" si="128"/>
        <v>12167.314249975485</v>
      </c>
      <c r="J142" s="82">
        <f t="shared" si="129"/>
        <v>4.1000000000000002E-2</v>
      </c>
      <c r="K142" s="81"/>
      <c r="L142" s="81">
        <f t="shared" si="130"/>
        <v>3549119.5052268128</v>
      </c>
      <c r="M142" s="83">
        <f t="shared" si="125"/>
        <v>14089.09812328885</v>
      </c>
      <c r="N142" s="84"/>
      <c r="O142" s="72">
        <v>107</v>
      </c>
      <c r="P142" s="47" t="str">
        <f>IF(S141&gt;0.005,"November","")</f>
        <v/>
      </c>
      <c r="Q142" s="80">
        <f t="shared" si="139"/>
        <v>0</v>
      </c>
      <c r="R142" s="80">
        <f t="shared" si="131"/>
        <v>0</v>
      </c>
      <c r="S142" s="80">
        <f t="shared" si="132"/>
        <v>0</v>
      </c>
      <c r="T142" s="47"/>
      <c r="U142" s="84"/>
      <c r="V142" s="72">
        <v>107</v>
      </c>
      <c r="W142" s="47" t="e">
        <f>IF(Z141&gt;0.005,"November","")</f>
        <v>#NAME?</v>
      </c>
      <c r="X142" s="80" t="e">
        <f t="shared" si="133"/>
        <v>#NAME?</v>
      </c>
      <c r="Y142" s="80"/>
      <c r="Z142" s="80" t="e">
        <f t="shared" si="134"/>
        <v>#NAME?</v>
      </c>
      <c r="AA142" s="47"/>
      <c r="AB142" s="84"/>
      <c r="AC142" s="83"/>
      <c r="AD142" s="47" t="str">
        <f>IF(AG141&gt;0.005,"November","")</f>
        <v/>
      </c>
      <c r="AE142" s="80">
        <f t="shared" si="135"/>
        <v>0</v>
      </c>
      <c r="AF142" s="80">
        <f t="shared" si="136"/>
        <v>0</v>
      </c>
      <c r="AG142" s="80">
        <f t="shared" si="137"/>
        <v>0</v>
      </c>
      <c r="AH142" s="47"/>
    </row>
    <row r="143" spans="2:34" x14ac:dyDescent="0.25">
      <c r="B143" s="72">
        <v>108</v>
      </c>
      <c r="C143" s="47" t="str">
        <f>IF(F142&gt;0.005,"December","")</f>
        <v>December</v>
      </c>
      <c r="D143" s="80">
        <f>IF(F142&gt;0,ROUND(F142*($F$6/12),2),0)</f>
        <v>14271.23</v>
      </c>
      <c r="E143" s="80">
        <f t="shared" si="126"/>
        <v>10371.886926226871</v>
      </c>
      <c r="F143" s="80">
        <f t="shared" si="127"/>
        <v>4166574.2888937281</v>
      </c>
      <c r="G143" s="47"/>
      <c r="I143" s="81">
        <f t="shared" si="128"/>
        <v>12126.158309524944</v>
      </c>
      <c r="J143" s="82">
        <f t="shared" si="129"/>
        <v>4.1000000000000002E-2</v>
      </c>
      <c r="K143" s="81"/>
      <c r="L143" s="81">
        <f t="shared" si="130"/>
        <v>3537114.6085003833</v>
      </c>
      <c r="M143" s="83">
        <f t="shared" si="125"/>
        <v>14096.921281738089</v>
      </c>
      <c r="N143" s="84"/>
      <c r="O143" s="72">
        <v>108</v>
      </c>
      <c r="P143" s="47" t="str">
        <f>IF(S142&gt;0.005,"December","")</f>
        <v/>
      </c>
      <c r="Q143" s="80">
        <f t="shared" si="139"/>
        <v>0</v>
      </c>
      <c r="R143" s="80">
        <f t="shared" si="131"/>
        <v>0</v>
      </c>
      <c r="S143" s="80">
        <f t="shared" si="132"/>
        <v>0</v>
      </c>
      <c r="T143" s="47"/>
      <c r="U143" s="84"/>
      <c r="V143" s="72">
        <v>108</v>
      </c>
      <c r="W143" s="47" t="e">
        <f>IF(Z142&gt;0.005,"December","")</f>
        <v>#NAME?</v>
      </c>
      <c r="X143" s="80" t="e">
        <f t="shared" si="133"/>
        <v>#NAME?</v>
      </c>
      <c r="Y143" s="80"/>
      <c r="Z143" s="80" t="e">
        <f t="shared" si="134"/>
        <v>#NAME?</v>
      </c>
      <c r="AA143" s="47"/>
      <c r="AB143" s="84"/>
      <c r="AC143" s="83"/>
      <c r="AD143" s="47" t="str">
        <f>IF(AG142&gt;0.005,"December","")</f>
        <v/>
      </c>
      <c r="AE143" s="80">
        <f t="shared" si="135"/>
        <v>0</v>
      </c>
      <c r="AF143" s="80">
        <f t="shared" si="136"/>
        <v>0</v>
      </c>
      <c r="AG143" s="80">
        <f t="shared" si="137"/>
        <v>0</v>
      </c>
      <c r="AH143" s="47"/>
    </row>
    <row r="144" spans="2:34" x14ac:dyDescent="0.25">
      <c r="B144" s="46"/>
      <c r="C144" s="85" t="str">
        <f>"Total "&amp;YEAR($C$9)+8</f>
        <v>Total 2027</v>
      </c>
      <c r="D144" s="86">
        <f>SUM(D132:D143)</f>
        <v>173559.44999999998</v>
      </c>
      <c r="E144" s="86">
        <f>SUM(E132:E143)</f>
        <v>122157.95311472245</v>
      </c>
      <c r="F144" s="87"/>
      <c r="G144" s="47"/>
      <c r="I144" s="86">
        <f>SUM(I132:I143)</f>
        <v>148261.15787053769</v>
      </c>
      <c r="J144" s="46"/>
      <c r="K144" s="86">
        <f>SUM(K132:K143)</f>
        <v>0</v>
      </c>
      <c r="L144" s="46"/>
      <c r="M144" s="46"/>
      <c r="O144" s="46"/>
      <c r="P144" s="85" t="str">
        <f>"Total "&amp;YEAR($C$9)+8</f>
        <v>Total 2027</v>
      </c>
      <c r="Q144" s="86">
        <f>SUM(Q132:Q143)</f>
        <v>0</v>
      </c>
      <c r="R144" s="86">
        <f>SUM(R132:R143)</f>
        <v>0</v>
      </c>
      <c r="S144" s="87"/>
      <c r="T144" s="47"/>
      <c r="V144" s="46"/>
      <c r="W144" s="85" t="str">
        <f>"Total "&amp;YEAR($C$9)+8</f>
        <v>Total 2027</v>
      </c>
      <c r="X144" s="86" t="e">
        <f>SUM(X132:X143)</f>
        <v>#NAME?</v>
      </c>
      <c r="Y144" s="86">
        <f>SUM(Y132:Y143)</f>
        <v>0</v>
      </c>
      <c r="Z144" s="87"/>
      <c r="AA144" s="47"/>
      <c r="AC144" s="46"/>
      <c r="AD144" s="85" t="str">
        <f>"Total "&amp;YEAR($C$9)+8</f>
        <v>Total 2027</v>
      </c>
      <c r="AE144" s="86">
        <f>SUM(AE132:AE143)</f>
        <v>0</v>
      </c>
      <c r="AF144" s="86">
        <f>SUM(AF132:AF143)</f>
        <v>0</v>
      </c>
      <c r="AG144" s="87"/>
      <c r="AH144" s="47"/>
    </row>
    <row r="145" spans="2:34" x14ac:dyDescent="0.25">
      <c r="B145" s="46"/>
      <c r="C145" s="47"/>
      <c r="D145" s="80"/>
      <c r="E145" s="80"/>
      <c r="F145" s="80"/>
      <c r="G145" s="47"/>
      <c r="I145" s="46"/>
      <c r="J145" s="46"/>
      <c r="K145" s="46"/>
      <c r="L145" s="46"/>
      <c r="M145" s="46"/>
      <c r="O145" s="46"/>
      <c r="P145" s="47"/>
      <c r="Q145" s="80"/>
      <c r="R145" s="80"/>
      <c r="S145" s="80"/>
      <c r="T145" s="47"/>
      <c r="V145" s="46"/>
      <c r="W145" s="47"/>
      <c r="X145" s="80"/>
      <c r="Y145" s="80"/>
      <c r="Z145" s="80"/>
      <c r="AA145" s="47"/>
      <c r="AC145" s="46"/>
      <c r="AD145" s="47"/>
      <c r="AE145" s="80"/>
      <c r="AF145" s="80"/>
      <c r="AG145" s="80"/>
      <c r="AH145" s="47"/>
    </row>
    <row r="146" spans="2:34" x14ac:dyDescent="0.25">
      <c r="B146" s="46"/>
      <c r="C146" s="47"/>
      <c r="D146" s="75" t="s">
        <v>62</v>
      </c>
      <c r="E146" s="75" t="s">
        <v>63</v>
      </c>
      <c r="F146" s="75" t="s">
        <v>64</v>
      </c>
      <c r="G146" s="47"/>
      <c r="I146" s="46"/>
      <c r="J146" s="46"/>
      <c r="K146" s="46"/>
      <c r="L146" s="46"/>
      <c r="M146" s="46"/>
      <c r="O146" s="46"/>
      <c r="P146" s="47"/>
      <c r="Q146" s="75" t="s">
        <v>62</v>
      </c>
      <c r="R146" s="75" t="s">
        <v>63</v>
      </c>
      <c r="S146" s="75" t="s">
        <v>64</v>
      </c>
      <c r="T146" s="47"/>
      <c r="V146" s="46"/>
      <c r="W146" s="47"/>
      <c r="X146" s="75" t="s">
        <v>62</v>
      </c>
      <c r="Y146" s="75" t="s">
        <v>63</v>
      </c>
      <c r="Z146" s="75" t="s">
        <v>64</v>
      </c>
      <c r="AA146" s="47"/>
      <c r="AC146" s="46"/>
      <c r="AD146" s="47"/>
      <c r="AE146" s="75" t="s">
        <v>62</v>
      </c>
      <c r="AF146" s="75" t="s">
        <v>63</v>
      </c>
      <c r="AG146" s="75" t="s">
        <v>64</v>
      </c>
      <c r="AH146" s="47"/>
    </row>
    <row r="147" spans="2:34" x14ac:dyDescent="0.25">
      <c r="B147" s="72">
        <v>109</v>
      </c>
      <c r="C147" s="47" t="str">
        <f>IF(F143&gt;0.005,"January","")</f>
        <v>January</v>
      </c>
      <c r="D147" s="80">
        <f>IF(F143&gt;0,ROUND(F143*($F$6/12),2),0)</f>
        <v>14235.8</v>
      </c>
      <c r="E147" s="80">
        <f>IF(F143&lt;$D$8,F143,$D$8-D147)</f>
        <v>10407.316926226871</v>
      </c>
      <c r="F147" s="80">
        <f>IF(F143-E147&gt;0,F143-E147,0)</f>
        <v>4156166.9719675011</v>
      </c>
      <c r="G147" s="47"/>
      <c r="I147" s="81">
        <f>L143*J147/12</f>
        <v>12085.141579042976</v>
      </c>
      <c r="J147" s="82">
        <f>$F$6</f>
        <v>4.1000000000000002E-2</v>
      </c>
      <c r="K147" s="81"/>
      <c r="L147" s="81">
        <f>MAX(L143+L143*($F$6/100)/12-I147-K147,0)</f>
        <v>3525150.3183371308</v>
      </c>
      <c r="M147" s="83">
        <f t="shared" ref="M147:M158" si="140">-PMT(($F$6/100)/12,$D$7-B147,L147,0,0)</f>
        <v>14104.970894262289</v>
      </c>
      <c r="N147" s="84"/>
      <c r="O147" s="72">
        <v>109</v>
      </c>
      <c r="P147" s="47" t="str">
        <f>IF(S143&gt;0.005,"January","")</f>
        <v/>
      </c>
      <c r="Q147" s="80">
        <f>IF(O147&lt;$S$7,"",IF(O147=$S$7,$Q$6*($S$6/12),S143*($S$6/12)))</f>
        <v>0</v>
      </c>
      <c r="R147" s="80">
        <f>IF(O147&lt;$S$7,"",$Q$8-Q147)</f>
        <v>0</v>
      </c>
      <c r="S147" s="80">
        <f>IF(O147&lt;$S$7,"",IF(O147=$S$7,$Q$6-R147,S143-R147))</f>
        <v>0</v>
      </c>
      <c r="T147" s="47"/>
      <c r="U147" s="84"/>
      <c r="V147" s="72">
        <v>109</v>
      </c>
      <c r="W147" s="47" t="e">
        <f>IF(Z143&gt;0.005,"January","")</f>
        <v>#NAME?</v>
      </c>
      <c r="X147" s="80" t="e">
        <f>IF(V147&lt;$Z$7,"",($Z$6/12)*$X$6)</f>
        <v>#NAME?</v>
      </c>
      <c r="Y147" s="80"/>
      <c r="Z147" s="80" t="e">
        <f>IF(V147&lt;$S$7,"",$X$6)</f>
        <v>#NAME?</v>
      </c>
      <c r="AA147" s="47"/>
      <c r="AB147" s="84"/>
      <c r="AC147" s="83"/>
      <c r="AD147" s="47" t="str">
        <f>IF(AG143&gt;0.005,"January","")</f>
        <v/>
      </c>
      <c r="AE147" s="80">
        <f>IF(AG143&gt;0,ROUND(AG143*($AG$6/1200),2),0)</f>
        <v>0</v>
      </c>
      <c r="AF147" s="80">
        <f>IF(AG143&lt;$AE$8,AG143,$AE$8-AE147)</f>
        <v>0</v>
      </c>
      <c r="AG147" s="80">
        <f>IF(AG143-AF147&gt;0,AG143-AF147,0)</f>
        <v>0</v>
      </c>
      <c r="AH147" s="47"/>
    </row>
    <row r="148" spans="2:34" x14ac:dyDescent="0.25">
      <c r="B148" s="72">
        <v>110</v>
      </c>
      <c r="C148" s="47" t="str">
        <f>IF(F147&gt;0.005,"February","")</f>
        <v>February</v>
      </c>
      <c r="D148" s="80">
        <f>IF(F147&gt;0,ROUND(F147*($F$6/12),2),0)</f>
        <v>14200.24</v>
      </c>
      <c r="E148" s="80">
        <f t="shared" ref="E148:E158" si="141">IF(F147&lt;$D$8,F147,$D$8-D148)</f>
        <v>10442.876926226871</v>
      </c>
      <c r="F148" s="80">
        <f t="shared" ref="F148:F158" si="142">IF(F147-E148&gt;0,F147-E148,0)</f>
        <v>4145724.0950412741</v>
      </c>
      <c r="G148" s="47"/>
      <c r="I148" s="81">
        <f t="shared" ref="I148:I158" si="143">L147*J148/12</f>
        <v>12044.263587651863</v>
      </c>
      <c r="J148" s="82">
        <f t="shared" ref="J148:J158" si="144">$F$6</f>
        <v>4.1000000000000002E-2</v>
      </c>
      <c r="K148" s="81"/>
      <c r="L148" s="81">
        <f t="shared" ref="L148:L158" si="145">MAX(L147+L147*($F$6/100)/12-I148-K148,0)</f>
        <v>3513226.4973853556</v>
      </c>
      <c r="M148" s="83">
        <f t="shared" si="140"/>
        <v>14113.249118168282</v>
      </c>
      <c r="N148" s="84"/>
      <c r="O148" s="72">
        <v>110</v>
      </c>
      <c r="P148" s="47" t="str">
        <f>IF(S147&gt;0.005,"February","")</f>
        <v/>
      </c>
      <c r="Q148" s="80">
        <f>IF(O148&lt;$S$7,"",IF(O148=$S$7,$Q$6*($S$6/12),S147*($S$6/12)))</f>
        <v>0</v>
      </c>
      <c r="R148" s="80">
        <f t="shared" ref="R148:R158" si="146">IF(O148&lt;$S$7,"",$Q$8-Q148)</f>
        <v>0</v>
      </c>
      <c r="S148" s="80">
        <f t="shared" ref="S148:S158" si="147">IF(O148&lt;$S$7,"",IF(O148=$S$7,$Q$6-R148,S147-R148))</f>
        <v>0</v>
      </c>
      <c r="T148" s="47"/>
      <c r="U148" s="84"/>
      <c r="V148" s="72">
        <v>110</v>
      </c>
      <c r="W148" s="47" t="e">
        <f>IF(Z147&gt;0.005,"February","")</f>
        <v>#NAME?</v>
      </c>
      <c r="X148" s="80" t="e">
        <f t="shared" ref="X148:X158" si="148">IF(V148&lt;$Z$7,"",($Z$6/12)*$X$6)</f>
        <v>#NAME?</v>
      </c>
      <c r="Y148" s="80"/>
      <c r="Z148" s="80" t="e">
        <f t="shared" ref="Z148:Z158" si="149">IF(V148&lt;$S$7,"",$X$6)</f>
        <v>#NAME?</v>
      </c>
      <c r="AA148" s="47"/>
      <c r="AB148" s="84"/>
      <c r="AC148" s="83"/>
      <c r="AD148" s="47" t="str">
        <f>IF(AG147&gt;0.005,"February","")</f>
        <v/>
      </c>
      <c r="AE148" s="80">
        <f t="shared" ref="AE148:AE158" si="150">IF(AG147&gt;0,ROUND(AG147*($AG$6/1200),2),0)</f>
        <v>0</v>
      </c>
      <c r="AF148" s="80">
        <f t="shared" ref="AF148:AF158" si="151">IF(AG147&lt;$AE$8,AG147,$AE$8-AE148)</f>
        <v>0</v>
      </c>
      <c r="AG148" s="80">
        <f t="shared" ref="AG148:AG158" si="152">IF(AG147-AF148&gt;0,AG147-AF148,0)</f>
        <v>0</v>
      </c>
      <c r="AH148" s="47"/>
    </row>
    <row r="149" spans="2:34" x14ac:dyDescent="0.25">
      <c r="B149" s="72">
        <v>111</v>
      </c>
      <c r="C149" s="47" t="str">
        <f>IF(F148&gt;0.005,"March","")</f>
        <v>March</v>
      </c>
      <c r="D149" s="80">
        <f t="shared" ref="D149:D157" si="153">IF(F148&gt;0,ROUND(F148*($F$6/12),2),0)</f>
        <v>14164.56</v>
      </c>
      <c r="E149" s="80">
        <f t="shared" si="141"/>
        <v>10478.556926226871</v>
      </c>
      <c r="F149" s="80">
        <f t="shared" si="142"/>
        <v>4135245.5381150474</v>
      </c>
      <c r="G149" s="47"/>
      <c r="I149" s="81">
        <f t="shared" si="143"/>
        <v>12003.523866066631</v>
      </c>
      <c r="J149" s="82">
        <f t="shared" si="144"/>
        <v>4.1000000000000002E-2</v>
      </c>
      <c r="K149" s="81"/>
      <c r="L149" s="81">
        <f t="shared" si="145"/>
        <v>3501343.0087579498</v>
      </c>
      <c r="M149" s="83">
        <f t="shared" si="140"/>
        <v>14121.758147330229</v>
      </c>
      <c r="N149" s="84"/>
      <c r="O149" s="72">
        <v>111</v>
      </c>
      <c r="P149" s="47" t="str">
        <f>IF(S148&gt;0.005,"March","")</f>
        <v/>
      </c>
      <c r="Q149" s="80">
        <f t="shared" ref="Q149:Q158" si="154">IF(O149&lt;$S$7,"",IF(O149=$S$7,$Q$6*($S$6/12),S148*($S$6/12)))</f>
        <v>0</v>
      </c>
      <c r="R149" s="80">
        <f t="shared" si="146"/>
        <v>0</v>
      </c>
      <c r="S149" s="80">
        <f t="shared" si="147"/>
        <v>0</v>
      </c>
      <c r="T149" s="47"/>
      <c r="U149" s="84"/>
      <c r="V149" s="72">
        <v>111</v>
      </c>
      <c r="W149" s="47" t="e">
        <f>IF(Z148&gt;0.005,"March","")</f>
        <v>#NAME?</v>
      </c>
      <c r="X149" s="80" t="e">
        <f t="shared" si="148"/>
        <v>#NAME?</v>
      </c>
      <c r="Y149" s="80"/>
      <c r="Z149" s="80" t="e">
        <f t="shared" si="149"/>
        <v>#NAME?</v>
      </c>
      <c r="AA149" s="47"/>
      <c r="AB149" s="84"/>
      <c r="AC149" s="83"/>
      <c r="AD149" s="47" t="str">
        <f>IF(AG148&gt;0.005,"March","")</f>
        <v/>
      </c>
      <c r="AE149" s="80">
        <f t="shared" si="150"/>
        <v>0</v>
      </c>
      <c r="AF149" s="80">
        <f t="shared" si="151"/>
        <v>0</v>
      </c>
      <c r="AG149" s="80">
        <f t="shared" si="152"/>
        <v>0</v>
      </c>
      <c r="AH149" s="47"/>
    </row>
    <row r="150" spans="2:34" x14ac:dyDescent="0.25">
      <c r="B150" s="72">
        <v>112</v>
      </c>
      <c r="C150" s="47" t="str">
        <f>IF(F149&gt;0.005,"April","")</f>
        <v>April</v>
      </c>
      <c r="D150" s="80">
        <f t="shared" si="153"/>
        <v>14128.76</v>
      </c>
      <c r="E150" s="80">
        <f t="shared" si="141"/>
        <v>10514.35692622687</v>
      </c>
      <c r="F150" s="80">
        <f t="shared" si="142"/>
        <v>4124731.1811888204</v>
      </c>
      <c r="G150" s="47"/>
      <c r="I150" s="81">
        <f t="shared" si="143"/>
        <v>11962.921946589662</v>
      </c>
      <c r="J150" s="82">
        <f t="shared" si="144"/>
        <v>4.1000000000000002E-2</v>
      </c>
      <c r="K150" s="81"/>
      <c r="L150" s="81">
        <f t="shared" si="145"/>
        <v>3489499.7160308259</v>
      </c>
      <c r="M150" s="83">
        <f t="shared" si="140"/>
        <v>14130.50021292034</v>
      </c>
      <c r="N150" s="84"/>
      <c r="O150" s="72">
        <v>112</v>
      </c>
      <c r="P150" s="47" t="str">
        <f>IF(S149&gt;0.005,"April","")</f>
        <v/>
      </c>
      <c r="Q150" s="80">
        <f t="shared" si="154"/>
        <v>0</v>
      </c>
      <c r="R150" s="80">
        <f t="shared" si="146"/>
        <v>0</v>
      </c>
      <c r="S150" s="80">
        <f t="shared" si="147"/>
        <v>0</v>
      </c>
      <c r="T150" s="47"/>
      <c r="U150" s="84"/>
      <c r="V150" s="72">
        <v>112</v>
      </c>
      <c r="W150" s="47" t="e">
        <f>IF(Z149&gt;0.005,"April","")</f>
        <v>#NAME?</v>
      </c>
      <c r="X150" s="80" t="e">
        <f t="shared" si="148"/>
        <v>#NAME?</v>
      </c>
      <c r="Y150" s="80"/>
      <c r="Z150" s="80" t="e">
        <f t="shared" si="149"/>
        <v>#NAME?</v>
      </c>
      <c r="AA150" s="47"/>
      <c r="AB150" s="84"/>
      <c r="AC150" s="83"/>
      <c r="AD150" s="47" t="str">
        <f>IF(AG149&gt;0.005,"April","")</f>
        <v/>
      </c>
      <c r="AE150" s="80">
        <f t="shared" si="150"/>
        <v>0</v>
      </c>
      <c r="AF150" s="80">
        <f t="shared" si="151"/>
        <v>0</v>
      </c>
      <c r="AG150" s="80">
        <f t="shared" si="152"/>
        <v>0</v>
      </c>
      <c r="AH150" s="47"/>
    </row>
    <row r="151" spans="2:34" x14ac:dyDescent="0.25">
      <c r="B151" s="72">
        <v>113</v>
      </c>
      <c r="C151" s="47" t="str">
        <f>IF(F150&gt;0.005,"May","")</f>
        <v>May</v>
      </c>
      <c r="D151" s="80">
        <f t="shared" si="153"/>
        <v>14092.83</v>
      </c>
      <c r="E151" s="80">
        <f t="shared" si="141"/>
        <v>10550.28692622687</v>
      </c>
      <c r="F151" s="80">
        <f t="shared" si="142"/>
        <v>4114180.8942625937</v>
      </c>
      <c r="G151" s="47"/>
      <c r="I151" s="81">
        <f t="shared" si="143"/>
        <v>11922.457363105323</v>
      </c>
      <c r="J151" s="82">
        <f t="shared" si="144"/>
        <v>4.1000000000000002E-2</v>
      </c>
      <c r="K151" s="81"/>
      <c r="L151" s="81">
        <f t="shared" si="145"/>
        <v>3477696.4832413513</v>
      </c>
      <c r="M151" s="83">
        <f t="shared" si="140"/>
        <v>14139.477584157386</v>
      </c>
      <c r="N151" s="84"/>
      <c r="O151" s="72">
        <v>113</v>
      </c>
      <c r="P151" s="47" t="str">
        <f>IF(S150&gt;0.005,"May","")</f>
        <v/>
      </c>
      <c r="Q151" s="80">
        <f t="shared" si="154"/>
        <v>0</v>
      </c>
      <c r="R151" s="80">
        <f t="shared" si="146"/>
        <v>0</v>
      </c>
      <c r="S151" s="80">
        <f t="shared" si="147"/>
        <v>0</v>
      </c>
      <c r="T151" s="47"/>
      <c r="U151" s="84"/>
      <c r="V151" s="72">
        <v>113</v>
      </c>
      <c r="W151" s="47" t="e">
        <f>IF(Z150&gt;0.005,"May","")</f>
        <v>#NAME?</v>
      </c>
      <c r="X151" s="80" t="e">
        <f t="shared" si="148"/>
        <v>#NAME?</v>
      </c>
      <c r="Y151" s="80"/>
      <c r="Z151" s="80" t="e">
        <f t="shared" si="149"/>
        <v>#NAME?</v>
      </c>
      <c r="AA151" s="47"/>
      <c r="AB151" s="84"/>
      <c r="AC151" s="83"/>
      <c r="AD151" s="47" t="str">
        <f>IF(AG150&gt;0.005,"May","")</f>
        <v/>
      </c>
      <c r="AE151" s="80">
        <f t="shared" si="150"/>
        <v>0</v>
      </c>
      <c r="AF151" s="80">
        <f t="shared" si="151"/>
        <v>0</v>
      </c>
      <c r="AG151" s="80">
        <f t="shared" si="152"/>
        <v>0</v>
      </c>
      <c r="AH151" s="47"/>
    </row>
    <row r="152" spans="2:34" x14ac:dyDescent="0.25">
      <c r="B152" s="72">
        <v>114</v>
      </c>
      <c r="C152" s="47" t="str">
        <f>IF(F151&gt;0.005,"June","")</f>
        <v>June</v>
      </c>
      <c r="D152" s="80">
        <f t="shared" si="153"/>
        <v>14056.78</v>
      </c>
      <c r="E152" s="80">
        <f t="shared" si="141"/>
        <v>10586.33692622687</v>
      </c>
      <c r="F152" s="80">
        <f t="shared" si="142"/>
        <v>4103594.5573363667</v>
      </c>
      <c r="G152" s="47"/>
      <c r="I152" s="81">
        <f t="shared" si="143"/>
        <v>11882.129651074618</v>
      </c>
      <c r="J152" s="82">
        <f t="shared" si="144"/>
        <v>4.1000000000000002E-2</v>
      </c>
      <c r="K152" s="81"/>
      <c r="L152" s="81">
        <f t="shared" si="145"/>
        <v>3465933.1748867873</v>
      </c>
      <c r="M152" s="83">
        <f t="shared" si="140"/>
        <v>14148.692569073432</v>
      </c>
      <c r="N152" s="84"/>
      <c r="O152" s="72">
        <v>114</v>
      </c>
      <c r="P152" s="47" t="str">
        <f>IF(S151&gt;0.005,"June","")</f>
        <v/>
      </c>
      <c r="Q152" s="80">
        <f t="shared" si="154"/>
        <v>0</v>
      </c>
      <c r="R152" s="80">
        <f t="shared" si="146"/>
        <v>0</v>
      </c>
      <c r="S152" s="80">
        <f t="shared" si="147"/>
        <v>0</v>
      </c>
      <c r="T152" s="47"/>
      <c r="U152" s="84"/>
      <c r="V152" s="72">
        <v>114</v>
      </c>
      <c r="W152" s="47" t="e">
        <f>IF(Z151&gt;0.005,"June","")</f>
        <v>#NAME?</v>
      </c>
      <c r="X152" s="80" t="e">
        <f t="shared" si="148"/>
        <v>#NAME?</v>
      </c>
      <c r="Y152" s="80"/>
      <c r="Z152" s="80" t="e">
        <f t="shared" si="149"/>
        <v>#NAME?</v>
      </c>
      <c r="AA152" s="47"/>
      <c r="AB152" s="84"/>
      <c r="AC152" s="83"/>
      <c r="AD152" s="47" t="str">
        <f>IF(AG151&gt;0.005,"June","")</f>
        <v/>
      </c>
      <c r="AE152" s="80">
        <f t="shared" si="150"/>
        <v>0</v>
      </c>
      <c r="AF152" s="80">
        <f t="shared" si="151"/>
        <v>0</v>
      </c>
      <c r="AG152" s="80">
        <f t="shared" si="152"/>
        <v>0</v>
      </c>
      <c r="AH152" s="47"/>
    </row>
    <row r="153" spans="2:34" x14ac:dyDescent="0.25">
      <c r="B153" s="72">
        <v>115</v>
      </c>
      <c r="C153" s="47" t="str">
        <f>IF(F152&gt;0.005,"July","")</f>
        <v>July</v>
      </c>
      <c r="D153" s="80">
        <f t="shared" si="153"/>
        <v>14020.61</v>
      </c>
      <c r="E153" s="80">
        <f t="shared" si="141"/>
        <v>10622.50692622687</v>
      </c>
      <c r="F153" s="80">
        <f t="shared" si="142"/>
        <v>4092972.0504101398</v>
      </c>
      <c r="G153" s="47"/>
      <c r="I153" s="81">
        <f t="shared" si="143"/>
        <v>11841.938347529858</v>
      </c>
      <c r="J153" s="82">
        <f t="shared" si="144"/>
        <v>4.1000000000000002E-2</v>
      </c>
      <c r="K153" s="81"/>
      <c r="L153" s="81">
        <f t="shared" si="145"/>
        <v>3454209.6559227323</v>
      </c>
      <c r="M153" s="83">
        <f t="shared" si="140"/>
        <v>14158.147515299455</v>
      </c>
      <c r="N153" s="84"/>
      <c r="O153" s="72">
        <v>115</v>
      </c>
      <c r="P153" s="47" t="str">
        <f>IF(S152&gt;0.005,"July","")</f>
        <v/>
      </c>
      <c r="Q153" s="80">
        <f t="shared" si="154"/>
        <v>0</v>
      </c>
      <c r="R153" s="80">
        <f t="shared" si="146"/>
        <v>0</v>
      </c>
      <c r="S153" s="80">
        <f t="shared" si="147"/>
        <v>0</v>
      </c>
      <c r="T153" s="47"/>
      <c r="U153" s="84"/>
      <c r="V153" s="72">
        <v>115</v>
      </c>
      <c r="W153" s="47" t="e">
        <f>IF(Z152&gt;0.005,"July","")</f>
        <v>#NAME?</v>
      </c>
      <c r="X153" s="80" t="e">
        <f t="shared" si="148"/>
        <v>#NAME?</v>
      </c>
      <c r="Y153" s="80"/>
      <c r="Z153" s="80" t="e">
        <f t="shared" si="149"/>
        <v>#NAME?</v>
      </c>
      <c r="AA153" s="47"/>
      <c r="AB153" s="84"/>
      <c r="AC153" s="83"/>
      <c r="AD153" s="47" t="str">
        <f>IF(AG152&gt;0.005,"July","")</f>
        <v/>
      </c>
      <c r="AE153" s="80">
        <f t="shared" si="150"/>
        <v>0</v>
      </c>
      <c r="AF153" s="80">
        <f t="shared" si="151"/>
        <v>0</v>
      </c>
      <c r="AG153" s="80">
        <f t="shared" si="152"/>
        <v>0</v>
      </c>
      <c r="AH153" s="47"/>
    </row>
    <row r="154" spans="2:34" x14ac:dyDescent="0.25">
      <c r="B154" s="72">
        <v>116</v>
      </c>
      <c r="C154" s="47" t="str">
        <f>IF(F153&gt;0.005,"August","")</f>
        <v>August</v>
      </c>
      <c r="D154" s="80">
        <f t="shared" si="153"/>
        <v>13984.32</v>
      </c>
      <c r="E154" s="80">
        <f t="shared" si="141"/>
        <v>10658.796926226871</v>
      </c>
      <c r="F154" s="80">
        <f t="shared" si="142"/>
        <v>4082313.2534839129</v>
      </c>
      <c r="G154" s="47"/>
      <c r="I154" s="81">
        <f t="shared" si="143"/>
        <v>11801.882991069337</v>
      </c>
      <c r="J154" s="82">
        <f t="shared" si="144"/>
        <v>4.1000000000000002E-2</v>
      </c>
      <c r="K154" s="81"/>
      <c r="L154" s="81">
        <f t="shared" si="145"/>
        <v>3442525.7917615734</v>
      </c>
      <c r="M154" s="83">
        <f t="shared" si="140"/>
        <v>14167.844810870209</v>
      </c>
      <c r="N154" s="84"/>
      <c r="O154" s="72">
        <v>116</v>
      </c>
      <c r="P154" s="47" t="str">
        <f>IF(S153&gt;0.005,"August","")</f>
        <v/>
      </c>
      <c r="Q154" s="80">
        <f t="shared" si="154"/>
        <v>0</v>
      </c>
      <c r="R154" s="80">
        <f t="shared" si="146"/>
        <v>0</v>
      </c>
      <c r="S154" s="80">
        <f t="shared" si="147"/>
        <v>0</v>
      </c>
      <c r="T154" s="47"/>
      <c r="U154" s="84"/>
      <c r="V154" s="72">
        <v>116</v>
      </c>
      <c r="W154" s="47" t="e">
        <f>IF(Z153&gt;0.005,"August","")</f>
        <v>#NAME?</v>
      </c>
      <c r="X154" s="80" t="e">
        <f t="shared" si="148"/>
        <v>#NAME?</v>
      </c>
      <c r="Y154" s="80"/>
      <c r="Z154" s="80" t="e">
        <f t="shared" si="149"/>
        <v>#NAME?</v>
      </c>
      <c r="AA154" s="47"/>
      <c r="AB154" s="84"/>
      <c r="AC154" s="83"/>
      <c r="AD154" s="47" t="str">
        <f>IF(AG153&gt;0.005,"August","")</f>
        <v/>
      </c>
      <c r="AE154" s="80">
        <f t="shared" si="150"/>
        <v>0</v>
      </c>
      <c r="AF154" s="80">
        <f t="shared" si="151"/>
        <v>0</v>
      </c>
      <c r="AG154" s="80">
        <f t="shared" si="152"/>
        <v>0</v>
      </c>
      <c r="AH154" s="47"/>
    </row>
    <row r="155" spans="2:34" x14ac:dyDescent="0.25">
      <c r="B155" s="72">
        <v>117</v>
      </c>
      <c r="C155" s="47" t="str">
        <f>IF(F154&gt;0.005,"September","")</f>
        <v>September</v>
      </c>
      <c r="D155" s="80">
        <f t="shared" si="153"/>
        <v>13947.9</v>
      </c>
      <c r="E155" s="80">
        <f t="shared" si="141"/>
        <v>10695.216926226871</v>
      </c>
      <c r="F155" s="80">
        <f t="shared" si="142"/>
        <v>4071618.036557686</v>
      </c>
      <c r="G155" s="47"/>
      <c r="I155" s="81">
        <f t="shared" si="143"/>
        <v>11761.963121852043</v>
      </c>
      <c r="J155" s="82">
        <f t="shared" si="144"/>
        <v>4.1000000000000002E-2</v>
      </c>
      <c r="K155" s="81"/>
      <c r="L155" s="81">
        <f t="shared" si="145"/>
        <v>3430881.4482709402</v>
      </c>
      <c r="M155" s="83">
        <f t="shared" si="140"/>
        <v>14177.786885049054</v>
      </c>
      <c r="N155" s="84"/>
      <c r="O155" s="72">
        <v>117</v>
      </c>
      <c r="P155" s="47" t="str">
        <f>IF(S154&gt;0.005,"September","")</f>
        <v/>
      </c>
      <c r="Q155" s="80">
        <f t="shared" si="154"/>
        <v>0</v>
      </c>
      <c r="R155" s="80">
        <f t="shared" si="146"/>
        <v>0</v>
      </c>
      <c r="S155" s="80">
        <f t="shared" si="147"/>
        <v>0</v>
      </c>
      <c r="T155" s="47"/>
      <c r="U155" s="84"/>
      <c r="V155" s="72">
        <v>117</v>
      </c>
      <c r="W155" s="47" t="e">
        <f>IF(Z154&gt;0.005,"September","")</f>
        <v>#NAME?</v>
      </c>
      <c r="X155" s="80" t="e">
        <f t="shared" si="148"/>
        <v>#NAME?</v>
      </c>
      <c r="Y155" s="80"/>
      <c r="Z155" s="80" t="e">
        <f t="shared" si="149"/>
        <v>#NAME?</v>
      </c>
      <c r="AA155" s="47"/>
      <c r="AB155" s="84"/>
      <c r="AC155" s="83"/>
      <c r="AD155" s="47" t="str">
        <f>IF(AG154&gt;0.005,"September","")</f>
        <v/>
      </c>
      <c r="AE155" s="80">
        <f t="shared" si="150"/>
        <v>0</v>
      </c>
      <c r="AF155" s="80">
        <f t="shared" si="151"/>
        <v>0</v>
      </c>
      <c r="AG155" s="80">
        <f t="shared" si="152"/>
        <v>0</v>
      </c>
      <c r="AH155" s="47"/>
    </row>
    <row r="156" spans="2:34" x14ac:dyDescent="0.25">
      <c r="B156" s="72">
        <v>118</v>
      </c>
      <c r="C156" s="47" t="str">
        <f>IF(F155&gt;0.005,"October","")</f>
        <v>October</v>
      </c>
      <c r="D156" s="80">
        <f t="shared" si="153"/>
        <v>13911.36</v>
      </c>
      <c r="E156" s="80">
        <f t="shared" si="141"/>
        <v>10731.75692622687</v>
      </c>
      <c r="F156" s="80">
        <f t="shared" si="142"/>
        <v>4060886.2796314592</v>
      </c>
      <c r="G156" s="47"/>
      <c r="I156" s="81">
        <f t="shared" si="143"/>
        <v>11722.17828159238</v>
      </c>
      <c r="J156" s="82">
        <f t="shared" si="144"/>
        <v>4.1000000000000002E-2</v>
      </c>
      <c r="K156" s="81"/>
      <c r="L156" s="81">
        <f t="shared" si="145"/>
        <v>3419276.4917721641</v>
      </c>
      <c r="M156" s="83">
        <f t="shared" si="140"/>
        <v>14187.976209173243</v>
      </c>
      <c r="N156" s="84"/>
      <c r="O156" s="72">
        <v>118</v>
      </c>
      <c r="P156" s="47" t="str">
        <f>IF(S155&gt;0.005,"October","")</f>
        <v/>
      </c>
      <c r="Q156" s="80">
        <f t="shared" si="154"/>
        <v>0</v>
      </c>
      <c r="R156" s="80">
        <f t="shared" si="146"/>
        <v>0</v>
      </c>
      <c r="S156" s="80">
        <f t="shared" si="147"/>
        <v>0</v>
      </c>
      <c r="T156" s="47"/>
      <c r="U156" s="84"/>
      <c r="V156" s="72">
        <v>118</v>
      </c>
      <c r="W156" s="47" t="e">
        <f>IF(Z155&gt;0.005,"October","")</f>
        <v>#NAME?</v>
      </c>
      <c r="X156" s="80" t="e">
        <f t="shared" si="148"/>
        <v>#NAME?</v>
      </c>
      <c r="Y156" s="80"/>
      <c r="Z156" s="80" t="e">
        <f t="shared" si="149"/>
        <v>#NAME?</v>
      </c>
      <c r="AA156" s="47"/>
      <c r="AB156" s="84"/>
      <c r="AC156" s="83"/>
      <c r="AD156" s="47" t="str">
        <f>IF(AG155&gt;0.005,"October","")</f>
        <v/>
      </c>
      <c r="AE156" s="80">
        <f t="shared" si="150"/>
        <v>0</v>
      </c>
      <c r="AF156" s="80">
        <f t="shared" si="151"/>
        <v>0</v>
      </c>
      <c r="AG156" s="80">
        <f t="shared" si="152"/>
        <v>0</v>
      </c>
      <c r="AH156" s="47"/>
    </row>
    <row r="157" spans="2:34" x14ac:dyDescent="0.25">
      <c r="B157" s="72">
        <v>119</v>
      </c>
      <c r="C157" s="47" t="str">
        <f>IF(F156&gt;0.005,"November","")</f>
        <v>November</v>
      </c>
      <c r="D157" s="80">
        <f t="shared" si="153"/>
        <v>13874.69</v>
      </c>
      <c r="E157" s="80">
        <f t="shared" si="141"/>
        <v>10768.42692622687</v>
      </c>
      <c r="F157" s="80">
        <f t="shared" si="142"/>
        <v>4050117.8527052323</v>
      </c>
      <c r="G157" s="47"/>
      <c r="I157" s="81">
        <f t="shared" si="143"/>
        <v>11682.528013554895</v>
      </c>
      <c r="J157" s="82">
        <f t="shared" si="144"/>
        <v>4.1000000000000002E-2</v>
      </c>
      <c r="K157" s="81"/>
      <c r="L157" s="81">
        <f t="shared" si="145"/>
        <v>3407710.7890387448</v>
      </c>
      <c r="M157" s="83">
        <f t="shared" si="140"/>
        <v>14198.415297520247</v>
      </c>
      <c r="N157" s="84"/>
      <c r="O157" s="72">
        <v>119</v>
      </c>
      <c r="P157" s="47" t="str">
        <f>IF(S156&gt;0.005,"November","")</f>
        <v/>
      </c>
      <c r="Q157" s="80">
        <f t="shared" si="154"/>
        <v>0</v>
      </c>
      <c r="R157" s="80">
        <f t="shared" si="146"/>
        <v>0</v>
      </c>
      <c r="S157" s="80">
        <f t="shared" si="147"/>
        <v>0</v>
      </c>
      <c r="T157" s="47"/>
      <c r="U157" s="84"/>
      <c r="V157" s="72">
        <v>119</v>
      </c>
      <c r="W157" s="47" t="e">
        <f>IF(Z156&gt;0.005,"November","")</f>
        <v>#NAME?</v>
      </c>
      <c r="X157" s="80" t="e">
        <f t="shared" si="148"/>
        <v>#NAME?</v>
      </c>
      <c r="Y157" s="80"/>
      <c r="Z157" s="80" t="e">
        <f t="shared" si="149"/>
        <v>#NAME?</v>
      </c>
      <c r="AA157" s="47"/>
      <c r="AB157" s="84"/>
      <c r="AC157" s="83"/>
      <c r="AD157" s="47" t="str">
        <f>IF(AG156&gt;0.005,"November","")</f>
        <v/>
      </c>
      <c r="AE157" s="80">
        <f t="shared" si="150"/>
        <v>0</v>
      </c>
      <c r="AF157" s="80">
        <f t="shared" si="151"/>
        <v>0</v>
      </c>
      <c r="AG157" s="80">
        <f t="shared" si="152"/>
        <v>0</v>
      </c>
      <c r="AH157" s="47"/>
    </row>
    <row r="158" spans="2:34" x14ac:dyDescent="0.25">
      <c r="B158" s="72">
        <v>120</v>
      </c>
      <c r="C158" s="47" t="str">
        <f>IF(F157&gt;0.005,"December","")</f>
        <v>December</v>
      </c>
      <c r="D158" s="80">
        <f>IF(F157&gt;0,ROUND(F157*($F$6/12),2),0)</f>
        <v>13837.9</v>
      </c>
      <c r="E158" s="80">
        <f t="shared" si="141"/>
        <v>10805.216926226871</v>
      </c>
      <c r="F158" s="80">
        <f t="shared" si="142"/>
        <v>4039312.6357790055</v>
      </c>
      <c r="G158" s="47"/>
      <c r="I158" s="81">
        <f t="shared" si="143"/>
        <v>11643.011862549045</v>
      </c>
      <c r="J158" s="82">
        <f t="shared" si="144"/>
        <v>4.1000000000000002E-2</v>
      </c>
      <c r="K158" s="81"/>
      <c r="L158" s="81">
        <f t="shared" si="145"/>
        <v>3396184.2072948213</v>
      </c>
      <c r="M158" s="83">
        <f t="shared" si="140"/>
        <v>14209.106708195797</v>
      </c>
      <c r="N158" s="84"/>
      <c r="O158" s="72">
        <v>120</v>
      </c>
      <c r="P158" s="47" t="str">
        <f>IF(S157&gt;0.005,"December","")</f>
        <v/>
      </c>
      <c r="Q158" s="80">
        <f t="shared" si="154"/>
        <v>0</v>
      </c>
      <c r="R158" s="80">
        <f t="shared" si="146"/>
        <v>0</v>
      </c>
      <c r="S158" s="80">
        <f t="shared" si="147"/>
        <v>0</v>
      </c>
      <c r="T158" s="47"/>
      <c r="U158" s="84"/>
      <c r="V158" s="72">
        <v>120</v>
      </c>
      <c r="W158" s="47" t="e">
        <f>IF(Z157&gt;0.005,"December","")</f>
        <v>#NAME?</v>
      </c>
      <c r="X158" s="80" t="e">
        <f t="shared" si="148"/>
        <v>#NAME?</v>
      </c>
      <c r="Y158" s="80"/>
      <c r="Z158" s="80" t="e">
        <f t="shared" si="149"/>
        <v>#NAME?</v>
      </c>
      <c r="AA158" s="47"/>
      <c r="AB158" s="84"/>
      <c r="AC158" s="83"/>
      <c r="AD158" s="47" t="str">
        <f>IF(AG157&gt;0.005,"December","")</f>
        <v/>
      </c>
      <c r="AE158" s="80">
        <f t="shared" si="150"/>
        <v>0</v>
      </c>
      <c r="AF158" s="80">
        <f t="shared" si="151"/>
        <v>0</v>
      </c>
      <c r="AG158" s="80">
        <f t="shared" si="152"/>
        <v>0</v>
      </c>
      <c r="AH158" s="47"/>
    </row>
    <row r="159" spans="2:34" x14ac:dyDescent="0.25">
      <c r="B159" s="46"/>
      <c r="C159" s="85" t="str">
        <f>"Total "&amp;YEAR($C$9)+9</f>
        <v>Total 2028</v>
      </c>
      <c r="D159" s="86">
        <f>SUM(D147:D158)</f>
        <v>168455.74999999997</v>
      </c>
      <c r="E159" s="86">
        <f>SUM(E147:E158)</f>
        <v>127261.65311472245</v>
      </c>
      <c r="F159" s="87"/>
      <c r="G159" s="47"/>
      <c r="I159" s="86">
        <f>SUM(I147:I158)</f>
        <v>142353.94061167861</v>
      </c>
      <c r="J159" s="46"/>
      <c r="K159" s="86">
        <f>SUM(K147:K158)</f>
        <v>0</v>
      </c>
      <c r="L159" s="46"/>
      <c r="M159" s="46"/>
      <c r="O159" s="46"/>
      <c r="P159" s="85" t="str">
        <f>"Total "&amp;YEAR($C$9)+9</f>
        <v>Total 2028</v>
      </c>
      <c r="Q159" s="86">
        <f>SUM(Q147:Q158)</f>
        <v>0</v>
      </c>
      <c r="R159" s="86">
        <f>SUM(R147:R158)</f>
        <v>0</v>
      </c>
      <c r="S159" s="87"/>
      <c r="T159" s="47"/>
      <c r="V159" s="46"/>
      <c r="W159" s="85" t="str">
        <f>"Total "&amp;YEAR($C$9)+9</f>
        <v>Total 2028</v>
      </c>
      <c r="X159" s="86" t="e">
        <f>SUM(X147:X158)</f>
        <v>#NAME?</v>
      </c>
      <c r="Y159" s="86">
        <f>SUM(Y147:Y158)</f>
        <v>0</v>
      </c>
      <c r="Z159" s="87"/>
      <c r="AA159" s="47"/>
      <c r="AC159" s="46"/>
      <c r="AD159" s="85" t="str">
        <f>"Total "&amp;YEAR($C$9)+9</f>
        <v>Total 2028</v>
      </c>
      <c r="AE159" s="86">
        <f>SUM(AE147:AE158)</f>
        <v>0</v>
      </c>
      <c r="AF159" s="86">
        <f>SUM(AF147:AF158)</f>
        <v>0</v>
      </c>
      <c r="AG159" s="87"/>
      <c r="AH159" s="47"/>
    </row>
    <row r="160" spans="2:34" x14ac:dyDescent="0.25">
      <c r="B160" s="46"/>
      <c r="C160" s="47"/>
      <c r="D160" s="80"/>
      <c r="E160" s="80"/>
      <c r="F160" s="80"/>
      <c r="G160" s="47"/>
      <c r="I160" s="46"/>
      <c r="J160" s="46"/>
      <c r="K160" s="46"/>
      <c r="L160" s="46"/>
      <c r="M160" s="46"/>
      <c r="O160" s="46"/>
      <c r="P160" s="47"/>
      <c r="Q160" s="80"/>
      <c r="R160" s="80"/>
      <c r="S160" s="80"/>
      <c r="T160" s="47"/>
      <c r="V160" s="46"/>
      <c r="W160" s="47"/>
      <c r="X160" s="80"/>
      <c r="Y160" s="80"/>
      <c r="Z160" s="80"/>
      <c r="AA160" s="47"/>
      <c r="AC160" s="46"/>
      <c r="AD160" s="47"/>
      <c r="AE160" s="80"/>
      <c r="AF160" s="80"/>
      <c r="AG160" s="80"/>
      <c r="AH160" s="47"/>
    </row>
    <row r="161" spans="2:34" x14ac:dyDescent="0.25">
      <c r="B161" s="46"/>
      <c r="C161" s="47"/>
      <c r="D161" s="75" t="s">
        <v>62</v>
      </c>
      <c r="E161" s="75" t="s">
        <v>63</v>
      </c>
      <c r="F161" s="75" t="s">
        <v>64</v>
      </c>
      <c r="G161" s="47"/>
      <c r="I161" s="46"/>
      <c r="J161" s="46"/>
      <c r="K161" s="46"/>
      <c r="L161" s="46"/>
      <c r="M161" s="46"/>
      <c r="O161" s="46"/>
      <c r="P161" s="47"/>
      <c r="Q161" s="75" t="s">
        <v>62</v>
      </c>
      <c r="R161" s="75" t="s">
        <v>63</v>
      </c>
      <c r="S161" s="75" t="s">
        <v>64</v>
      </c>
      <c r="T161" s="47"/>
      <c r="V161" s="46"/>
      <c r="W161" s="47"/>
      <c r="X161" s="75" t="s">
        <v>62</v>
      </c>
      <c r="Y161" s="75" t="s">
        <v>63</v>
      </c>
      <c r="Z161" s="75" t="s">
        <v>64</v>
      </c>
      <c r="AA161" s="47"/>
      <c r="AC161" s="46"/>
      <c r="AD161" s="47"/>
      <c r="AE161" s="75" t="s">
        <v>62</v>
      </c>
      <c r="AF161" s="75" t="s">
        <v>63</v>
      </c>
      <c r="AG161" s="75" t="s">
        <v>64</v>
      </c>
      <c r="AH161" s="47"/>
    </row>
    <row r="162" spans="2:34" x14ac:dyDescent="0.25">
      <c r="B162" s="72">
        <v>121</v>
      </c>
      <c r="C162" s="47" t="str">
        <f>IF(F158&gt;0.005,"January","")</f>
        <v>January</v>
      </c>
      <c r="D162" s="80">
        <f>IF(F158&gt;0,ROUND(F158*($F$6/12),2),0)</f>
        <v>13800.98</v>
      </c>
      <c r="E162" s="80">
        <f>IF(F158&lt;$D$8,F158,$D$8-D162)</f>
        <v>10842.136926226871</v>
      </c>
      <c r="F162" s="80">
        <f>IF(F158-E162&gt;0,F158-E162,0)</f>
        <v>4028470.4988527787</v>
      </c>
      <c r="G162" s="47"/>
      <c r="I162" s="81">
        <f>L158*J162/12</f>
        <v>11603.629374923972</v>
      </c>
      <c r="J162" s="82">
        <f>$F$6</f>
        <v>4.1000000000000002E-2</v>
      </c>
      <c r="K162" s="81"/>
      <c r="L162" s="81">
        <f>MAX(L158+L158*($F$6/100)/12-I162-K162,0)</f>
        <v>3384696.6142136464</v>
      </c>
      <c r="M162" s="83">
        <f t="shared" ref="M162:M173" si="155">-PMT(($F$6/100)/12,$D$7-B162,L162,0,0)</f>
        <v>14220.053044044213</v>
      </c>
      <c r="N162" s="84"/>
      <c r="O162" s="72">
        <v>121</v>
      </c>
      <c r="P162" s="47" t="str">
        <f>IF(S158&gt;0.005,"January","")</f>
        <v/>
      </c>
      <c r="Q162" s="80">
        <f>IF(O162&lt;$S$7,"",IF(O162=$S$7,$Q$6*($S$6/12),S158*($S$6/12)))</f>
        <v>0</v>
      </c>
      <c r="R162" s="80">
        <f>IF(O162&lt;$S$7,"",$Q$8-Q162)</f>
        <v>0</v>
      </c>
      <c r="S162" s="80">
        <f>IF(O162&lt;$S$7,"",IF(O162=$S$7,$Q$6-R162,S158-R162))</f>
        <v>0</v>
      </c>
      <c r="T162" s="47"/>
      <c r="U162" s="84"/>
      <c r="V162" s="72">
        <v>121</v>
      </c>
      <c r="W162" s="47" t="e">
        <f>IF(Z158&gt;0.005,"January","")</f>
        <v>#NAME?</v>
      </c>
      <c r="X162" s="80" t="e">
        <f>IF(V162&lt;$Z$7,"",($Z$6/12)*$X$6)</f>
        <v>#NAME?</v>
      </c>
      <c r="Y162" s="80"/>
      <c r="Z162" s="80" t="e">
        <f>IF(V162&lt;$S$7,"",$X$6)</f>
        <v>#NAME?</v>
      </c>
      <c r="AA162" s="47"/>
      <c r="AB162" s="84"/>
      <c r="AC162" s="83"/>
      <c r="AD162" s="47" t="str">
        <f>IF(AG158&gt;0.005,"January","")</f>
        <v/>
      </c>
      <c r="AE162" s="80">
        <f>IF(AG158&gt;0,ROUND(AG158*($AG$6/1200),2),0)</f>
        <v>0</v>
      </c>
      <c r="AF162" s="80">
        <f>IF(AG158&lt;$AE$8,AG158,$AE$8-AE162)</f>
        <v>0</v>
      </c>
      <c r="AG162" s="80">
        <f>IF(AG158-AF162&gt;0,AG158-AF162,0)</f>
        <v>0</v>
      </c>
      <c r="AH162" s="47"/>
    </row>
    <row r="163" spans="2:34" x14ac:dyDescent="0.25">
      <c r="B163" s="72">
        <v>122</v>
      </c>
      <c r="C163" s="47" t="str">
        <f>IF(F162&gt;0.005,"February","")</f>
        <v>February</v>
      </c>
      <c r="D163" s="80">
        <f>IF(F162&gt;0,ROUND(F162*($F$6/12),2),0)</f>
        <v>13763.94</v>
      </c>
      <c r="E163" s="80">
        <f t="shared" ref="E163:E173" si="156">IF(F162&lt;$D$8,F162,$D$8-D163)</f>
        <v>10879.17692622687</v>
      </c>
      <c r="F163" s="80">
        <f t="shared" ref="F163:F173" si="157">IF(F162-E163&gt;0,F162-E163,0)</f>
        <v>4017591.3219265519</v>
      </c>
      <c r="G163" s="47"/>
      <c r="I163" s="81">
        <f t="shared" ref="I163:I173" si="158">L162*J163/12</f>
        <v>11564.380098563292</v>
      </c>
      <c r="J163" s="82">
        <f t="shared" ref="J163:J173" si="159">$F$6</f>
        <v>4.1000000000000002E-2</v>
      </c>
      <c r="K163" s="81"/>
      <c r="L163" s="81">
        <f t="shared" ref="L163:L173" si="160">MAX(L162+L162*($F$6/100)/12-I163-K163,0)</f>
        <v>3373247.8779160688</v>
      </c>
      <c r="M163" s="83">
        <f t="shared" si="155"/>
        <v>14231.256953581731</v>
      </c>
      <c r="N163" s="84"/>
      <c r="O163" s="72">
        <v>122</v>
      </c>
      <c r="P163" s="47" t="str">
        <f>IF(S162&gt;0.005,"February","")</f>
        <v/>
      </c>
      <c r="Q163" s="80">
        <f>IF(O163&lt;$S$7,"",IF(O163=$S$7,$Q$6*($S$6/12),S162*($S$6/12)))</f>
        <v>0</v>
      </c>
      <c r="R163" s="80">
        <f t="shared" ref="R163:R173" si="161">IF(O163&lt;$S$7,"",$Q$8-Q163)</f>
        <v>0</v>
      </c>
      <c r="S163" s="80">
        <f t="shared" ref="S163:S173" si="162">IF(O163&lt;$S$7,"",IF(O163=$S$7,$Q$6-R163,S162-R163))</f>
        <v>0</v>
      </c>
      <c r="T163" s="47"/>
      <c r="U163" s="84"/>
      <c r="V163" s="72">
        <v>122</v>
      </c>
      <c r="W163" s="47" t="e">
        <f>IF(Z162&gt;0.005,"February","")</f>
        <v>#NAME?</v>
      </c>
      <c r="X163" s="80" t="e">
        <f t="shared" ref="X163:X173" si="163">IF(V163&lt;$Z$7,"",($Z$6/12)*$X$6)</f>
        <v>#NAME?</v>
      </c>
      <c r="Y163" s="80"/>
      <c r="Z163" s="80" t="e">
        <f t="shared" ref="Z163:Z173" si="164">IF(V163&lt;$S$7,"",$X$6)</f>
        <v>#NAME?</v>
      </c>
      <c r="AA163" s="47"/>
      <c r="AB163" s="84"/>
      <c r="AC163" s="83"/>
      <c r="AD163" s="47" t="str">
        <f>IF(AG162&gt;0.005,"February","")</f>
        <v/>
      </c>
      <c r="AE163" s="80">
        <f t="shared" ref="AE163:AE173" si="165">IF(AG162&gt;0,ROUND(AG162*($AG$6/1200),2),0)</f>
        <v>0</v>
      </c>
      <c r="AF163" s="80">
        <f t="shared" ref="AF163:AF173" si="166">IF(AG162&lt;$AE$8,AG162,$AE$8-AE163)</f>
        <v>0</v>
      </c>
      <c r="AG163" s="80">
        <f t="shared" ref="AG163:AG173" si="167">IF(AG162-AF163&gt;0,AG162-AF163,0)</f>
        <v>0</v>
      </c>
      <c r="AH163" s="47"/>
    </row>
    <row r="164" spans="2:34" x14ac:dyDescent="0.25">
      <c r="B164" s="72">
        <v>123</v>
      </c>
      <c r="C164" s="47" t="str">
        <f>IF(F163&gt;0.005,"March","")</f>
        <v>March</v>
      </c>
      <c r="D164" s="80">
        <f t="shared" ref="D164:D172" si="168">IF(F163&gt;0,ROUND(F163*($F$6/12),2),0)</f>
        <v>13726.77</v>
      </c>
      <c r="E164" s="80">
        <f t="shared" si="156"/>
        <v>10916.34692622687</v>
      </c>
      <c r="F164" s="80">
        <f t="shared" si="157"/>
        <v>4006674.9750003251</v>
      </c>
      <c r="G164" s="47"/>
      <c r="I164" s="81">
        <f t="shared" si="158"/>
        <v>11525.263582879903</v>
      </c>
      <c r="J164" s="82">
        <f t="shared" si="159"/>
        <v>4.1000000000000002E-2</v>
      </c>
      <c r="K164" s="81"/>
      <c r="L164" s="81">
        <f t="shared" si="160"/>
        <v>3361837.8669690178</v>
      </c>
      <c r="M164" s="83">
        <f t="shared" si="155"/>
        <v>14242.72113195348</v>
      </c>
      <c r="N164" s="84"/>
      <c r="O164" s="72">
        <v>123</v>
      </c>
      <c r="P164" s="47" t="str">
        <f>IF(S163&gt;0.005,"March","")</f>
        <v/>
      </c>
      <c r="Q164" s="80">
        <f t="shared" ref="Q164:Q173" si="169">IF(O164&lt;$S$7,"",IF(O164=$S$7,$Q$6*($S$6/12),S163*($S$6/12)))</f>
        <v>0</v>
      </c>
      <c r="R164" s="80">
        <f t="shared" si="161"/>
        <v>0</v>
      </c>
      <c r="S164" s="80">
        <f t="shared" si="162"/>
        <v>0</v>
      </c>
      <c r="T164" s="47"/>
      <c r="U164" s="84"/>
      <c r="V164" s="72">
        <v>123</v>
      </c>
      <c r="W164" s="47" t="e">
        <f>IF(Z163&gt;0.005,"March","")</f>
        <v>#NAME?</v>
      </c>
      <c r="X164" s="80" t="e">
        <f t="shared" si="163"/>
        <v>#NAME?</v>
      </c>
      <c r="Y164" s="80"/>
      <c r="Z164" s="80" t="e">
        <f t="shared" si="164"/>
        <v>#NAME?</v>
      </c>
      <c r="AA164" s="47"/>
      <c r="AB164" s="84"/>
      <c r="AC164" s="83"/>
      <c r="AD164" s="47" t="str">
        <f>IF(AG163&gt;0.005,"March","")</f>
        <v/>
      </c>
      <c r="AE164" s="80">
        <f t="shared" si="165"/>
        <v>0</v>
      </c>
      <c r="AF164" s="80">
        <f t="shared" si="166"/>
        <v>0</v>
      </c>
      <c r="AG164" s="80">
        <f t="shared" si="167"/>
        <v>0</v>
      </c>
      <c r="AH164" s="47"/>
    </row>
    <row r="165" spans="2:34" x14ac:dyDescent="0.25">
      <c r="B165" s="72">
        <v>124</v>
      </c>
      <c r="C165" s="47" t="str">
        <f>IF(F164&gt;0.005,"April","")</f>
        <v>April</v>
      </c>
      <c r="D165" s="80">
        <f t="shared" si="168"/>
        <v>13689.47</v>
      </c>
      <c r="E165" s="80">
        <f t="shared" si="156"/>
        <v>10953.646926226871</v>
      </c>
      <c r="F165" s="80">
        <f t="shared" si="157"/>
        <v>3995721.3280740981</v>
      </c>
      <c r="G165" s="47"/>
      <c r="I165" s="81">
        <f t="shared" si="158"/>
        <v>11486.27937881081</v>
      </c>
      <c r="J165" s="82">
        <f t="shared" si="159"/>
        <v>4.1000000000000002E-2</v>
      </c>
      <c r="K165" s="81"/>
      <c r="L165" s="81">
        <f t="shared" si="160"/>
        <v>3350466.4503839952</v>
      </c>
      <c r="M165" s="83">
        <f t="shared" si="155"/>
        <v>14254.448321914759</v>
      </c>
      <c r="N165" s="84"/>
      <c r="O165" s="72">
        <v>124</v>
      </c>
      <c r="P165" s="47" t="str">
        <f>IF(S164&gt;0.005,"April","")</f>
        <v/>
      </c>
      <c r="Q165" s="80">
        <f t="shared" si="169"/>
        <v>0</v>
      </c>
      <c r="R165" s="80">
        <f t="shared" si="161"/>
        <v>0</v>
      </c>
      <c r="S165" s="80">
        <f t="shared" si="162"/>
        <v>0</v>
      </c>
      <c r="T165" s="47"/>
      <c r="U165" s="84"/>
      <c r="V165" s="72">
        <v>124</v>
      </c>
      <c r="W165" s="47" t="e">
        <f>IF(Z164&gt;0.005,"April","")</f>
        <v>#NAME?</v>
      </c>
      <c r="X165" s="80" t="e">
        <f t="shared" si="163"/>
        <v>#NAME?</v>
      </c>
      <c r="Y165" s="80"/>
      <c r="Z165" s="80" t="e">
        <f t="shared" si="164"/>
        <v>#NAME?</v>
      </c>
      <c r="AA165" s="47"/>
      <c r="AB165" s="84"/>
      <c r="AC165" s="83"/>
      <c r="AD165" s="47" t="str">
        <f>IF(AG164&gt;0.005,"April","")</f>
        <v/>
      </c>
      <c r="AE165" s="80">
        <f t="shared" si="165"/>
        <v>0</v>
      </c>
      <c r="AF165" s="80">
        <f t="shared" si="166"/>
        <v>0</v>
      </c>
      <c r="AG165" s="80">
        <f t="shared" si="167"/>
        <v>0</v>
      </c>
      <c r="AH165" s="47"/>
    </row>
    <row r="166" spans="2:34" x14ac:dyDescent="0.25">
      <c r="B166" s="72">
        <v>125</v>
      </c>
      <c r="C166" s="47" t="str">
        <f>IF(F165&gt;0.005,"May","")</f>
        <v>May</v>
      </c>
      <c r="D166" s="80">
        <f t="shared" si="168"/>
        <v>13652.05</v>
      </c>
      <c r="E166" s="80">
        <f t="shared" si="156"/>
        <v>10991.066926226871</v>
      </c>
      <c r="F166" s="80">
        <f t="shared" si="157"/>
        <v>3984730.2611478711</v>
      </c>
      <c r="G166" s="47"/>
      <c r="I166" s="81">
        <f t="shared" si="158"/>
        <v>11447.427038811984</v>
      </c>
      <c r="J166" s="82">
        <f t="shared" si="159"/>
        <v>4.1000000000000002E-2</v>
      </c>
      <c r="K166" s="81"/>
      <c r="L166" s="81">
        <f t="shared" si="160"/>
        <v>3339133.4976155711</v>
      </c>
      <c r="M166" s="83">
        <f t="shared" si="155"/>
        <v>14266.441314837466</v>
      </c>
      <c r="N166" s="84"/>
      <c r="O166" s="72">
        <v>125</v>
      </c>
      <c r="P166" s="47" t="str">
        <f>IF(S165&gt;0.005,"May","")</f>
        <v/>
      </c>
      <c r="Q166" s="80">
        <f t="shared" si="169"/>
        <v>0</v>
      </c>
      <c r="R166" s="80">
        <f t="shared" si="161"/>
        <v>0</v>
      </c>
      <c r="S166" s="80">
        <f t="shared" si="162"/>
        <v>0</v>
      </c>
      <c r="T166" s="47"/>
      <c r="U166" s="84"/>
      <c r="V166" s="72">
        <v>125</v>
      </c>
      <c r="W166" s="47" t="e">
        <f>IF(Z165&gt;0.005,"May","")</f>
        <v>#NAME?</v>
      </c>
      <c r="X166" s="80" t="e">
        <f t="shared" si="163"/>
        <v>#NAME?</v>
      </c>
      <c r="Y166" s="80"/>
      <c r="Z166" s="80" t="e">
        <f t="shared" si="164"/>
        <v>#NAME?</v>
      </c>
      <c r="AA166" s="47"/>
      <c r="AB166" s="84"/>
      <c r="AC166" s="83"/>
      <c r="AD166" s="47" t="str">
        <f>IF(AG165&gt;0.005,"May","")</f>
        <v/>
      </c>
      <c r="AE166" s="80">
        <f t="shared" si="165"/>
        <v>0</v>
      </c>
      <c r="AF166" s="80">
        <f t="shared" si="166"/>
        <v>0</v>
      </c>
      <c r="AG166" s="80">
        <f t="shared" si="167"/>
        <v>0</v>
      </c>
      <c r="AH166" s="47"/>
    </row>
    <row r="167" spans="2:34" x14ac:dyDescent="0.25">
      <c r="B167" s="72">
        <v>126</v>
      </c>
      <c r="C167" s="47" t="str">
        <f>IF(F166&gt;0.005,"June","")</f>
        <v>June</v>
      </c>
      <c r="D167" s="80">
        <f t="shared" si="168"/>
        <v>13614.5</v>
      </c>
      <c r="E167" s="80">
        <f t="shared" si="156"/>
        <v>11028.61692622687</v>
      </c>
      <c r="F167" s="80">
        <f t="shared" si="157"/>
        <v>3973701.6442216444</v>
      </c>
      <c r="G167" s="47"/>
      <c r="I167" s="81">
        <f t="shared" si="158"/>
        <v>11408.706116853202</v>
      </c>
      <c r="J167" s="82">
        <f t="shared" si="159"/>
        <v>4.1000000000000002E-2</v>
      </c>
      <c r="K167" s="81"/>
      <c r="L167" s="81">
        <f t="shared" si="160"/>
        <v>3327838.8785598865</v>
      </c>
      <c r="M167" s="83">
        <f t="shared" si="155"/>
        <v>14278.702951742322</v>
      </c>
      <c r="N167" s="84"/>
      <c r="O167" s="72">
        <v>126</v>
      </c>
      <c r="P167" s="47" t="str">
        <f>IF(S166&gt;0.005,"June","")</f>
        <v/>
      </c>
      <c r="Q167" s="80">
        <f t="shared" si="169"/>
        <v>0</v>
      </c>
      <c r="R167" s="80">
        <f t="shared" si="161"/>
        <v>0</v>
      </c>
      <c r="S167" s="80">
        <f t="shared" si="162"/>
        <v>0</v>
      </c>
      <c r="T167" s="47"/>
      <c r="U167" s="84"/>
      <c r="V167" s="72">
        <v>126</v>
      </c>
      <c r="W167" s="47" t="e">
        <f>IF(Z166&gt;0.005,"June","")</f>
        <v>#NAME?</v>
      </c>
      <c r="X167" s="80" t="e">
        <f t="shared" si="163"/>
        <v>#NAME?</v>
      </c>
      <c r="Y167" s="80"/>
      <c r="Z167" s="80" t="e">
        <f t="shared" si="164"/>
        <v>#NAME?</v>
      </c>
      <c r="AA167" s="47"/>
      <c r="AB167" s="84"/>
      <c r="AC167" s="83"/>
      <c r="AD167" s="47" t="str">
        <f>IF(AG166&gt;0.005,"June","")</f>
        <v/>
      </c>
      <c r="AE167" s="80">
        <f t="shared" si="165"/>
        <v>0</v>
      </c>
      <c r="AF167" s="80">
        <f t="shared" si="166"/>
        <v>0</v>
      </c>
      <c r="AG167" s="80">
        <f t="shared" si="167"/>
        <v>0</v>
      </c>
      <c r="AH167" s="47"/>
    </row>
    <row r="168" spans="2:34" x14ac:dyDescent="0.25">
      <c r="B168" s="72">
        <v>127</v>
      </c>
      <c r="C168" s="47" t="str">
        <f>IF(F167&gt;0.005,"July","")</f>
        <v>July</v>
      </c>
      <c r="D168" s="80">
        <f t="shared" si="168"/>
        <v>13576.81</v>
      </c>
      <c r="E168" s="80">
        <f t="shared" si="156"/>
        <v>11066.306926226871</v>
      </c>
      <c r="F168" s="80">
        <f t="shared" si="157"/>
        <v>3962635.3372954177</v>
      </c>
      <c r="G168" s="47"/>
      <c r="I168" s="81">
        <f t="shared" si="158"/>
        <v>11370.116168412946</v>
      </c>
      <c r="J168" s="82">
        <f t="shared" si="159"/>
        <v>4.1000000000000002E-2</v>
      </c>
      <c r="K168" s="81"/>
      <c r="L168" s="81">
        <f t="shared" si="160"/>
        <v>3316582.4635531576</v>
      </c>
      <c r="M168" s="83">
        <f t="shared" si="155"/>
        <v>14291.236124357667</v>
      </c>
      <c r="N168" s="84"/>
      <c r="O168" s="72">
        <v>127</v>
      </c>
      <c r="P168" s="47" t="str">
        <f>IF(S167&gt;0.005,"July","")</f>
        <v/>
      </c>
      <c r="Q168" s="80">
        <f t="shared" si="169"/>
        <v>0</v>
      </c>
      <c r="R168" s="80">
        <f t="shared" si="161"/>
        <v>0</v>
      </c>
      <c r="S168" s="80">
        <f t="shared" si="162"/>
        <v>0</v>
      </c>
      <c r="T168" s="47"/>
      <c r="U168" s="84"/>
      <c r="V168" s="72">
        <v>127</v>
      </c>
      <c r="W168" s="47" t="e">
        <f>IF(Z167&gt;0.005,"July","")</f>
        <v>#NAME?</v>
      </c>
      <c r="X168" s="80" t="e">
        <f t="shared" si="163"/>
        <v>#NAME?</v>
      </c>
      <c r="Y168" s="80"/>
      <c r="Z168" s="80" t="e">
        <f t="shared" si="164"/>
        <v>#NAME?</v>
      </c>
      <c r="AA168" s="47"/>
      <c r="AB168" s="84"/>
      <c r="AC168" s="83"/>
      <c r="AD168" s="47" t="str">
        <f>IF(AG167&gt;0.005,"July","")</f>
        <v/>
      </c>
      <c r="AE168" s="80">
        <f t="shared" si="165"/>
        <v>0</v>
      </c>
      <c r="AF168" s="80">
        <f t="shared" si="166"/>
        <v>0</v>
      </c>
      <c r="AG168" s="80">
        <f t="shared" si="167"/>
        <v>0</v>
      </c>
      <c r="AH168" s="47"/>
    </row>
    <row r="169" spans="2:34" x14ac:dyDescent="0.25">
      <c r="B169" s="72">
        <v>128</v>
      </c>
      <c r="C169" s="47" t="str">
        <f>IF(F168&gt;0.005,"August","")</f>
        <v>August</v>
      </c>
      <c r="D169" s="80">
        <f t="shared" si="168"/>
        <v>13539</v>
      </c>
      <c r="E169" s="80">
        <f t="shared" si="156"/>
        <v>11104.11692622687</v>
      </c>
      <c r="F169" s="80">
        <f t="shared" si="157"/>
        <v>3951531.2203691909</v>
      </c>
      <c r="G169" s="47"/>
      <c r="I169" s="81">
        <f t="shared" si="158"/>
        <v>11331.656750473288</v>
      </c>
      <c r="J169" s="82">
        <f t="shared" si="159"/>
        <v>4.1000000000000002E-2</v>
      </c>
      <c r="K169" s="81"/>
      <c r="L169" s="81">
        <f t="shared" si="160"/>
        <v>3305364.1233701892</v>
      </c>
      <c r="M169" s="83">
        <f t="shared" si="155"/>
        <v>14304.043776205728</v>
      </c>
      <c r="N169" s="84"/>
      <c r="O169" s="72">
        <v>128</v>
      </c>
      <c r="P169" s="47" t="str">
        <f>IF(S168&gt;0.005,"August","")</f>
        <v/>
      </c>
      <c r="Q169" s="80">
        <f t="shared" si="169"/>
        <v>0</v>
      </c>
      <c r="R169" s="80">
        <f t="shared" si="161"/>
        <v>0</v>
      </c>
      <c r="S169" s="80">
        <f t="shared" si="162"/>
        <v>0</v>
      </c>
      <c r="T169" s="47"/>
      <c r="U169" s="84"/>
      <c r="V169" s="72">
        <v>128</v>
      </c>
      <c r="W169" s="47" t="e">
        <f>IF(Z168&gt;0.005,"August","")</f>
        <v>#NAME?</v>
      </c>
      <c r="X169" s="80" t="e">
        <f t="shared" si="163"/>
        <v>#NAME?</v>
      </c>
      <c r="Y169" s="80"/>
      <c r="Z169" s="80" t="e">
        <f t="shared" si="164"/>
        <v>#NAME?</v>
      </c>
      <c r="AA169" s="47"/>
      <c r="AB169" s="84"/>
      <c r="AC169" s="83"/>
      <c r="AD169" s="47" t="str">
        <f>IF(AG168&gt;0.005,"August","")</f>
        <v/>
      </c>
      <c r="AE169" s="80">
        <f t="shared" si="165"/>
        <v>0</v>
      </c>
      <c r="AF169" s="80">
        <f t="shared" si="166"/>
        <v>0</v>
      </c>
      <c r="AG169" s="80">
        <f t="shared" si="167"/>
        <v>0</v>
      </c>
      <c r="AH169" s="47"/>
    </row>
    <row r="170" spans="2:34" x14ac:dyDescent="0.25">
      <c r="B170" s="72">
        <v>129</v>
      </c>
      <c r="C170" s="47" t="str">
        <f>IF(F169&gt;0.005,"September","")</f>
        <v>September</v>
      </c>
      <c r="D170" s="80">
        <f t="shared" si="168"/>
        <v>13501.07</v>
      </c>
      <c r="E170" s="80">
        <f t="shared" si="156"/>
        <v>11142.046926226871</v>
      </c>
      <c r="F170" s="80">
        <f t="shared" si="157"/>
        <v>3940389.173442964</v>
      </c>
      <c r="G170" s="47"/>
      <c r="I170" s="81">
        <f t="shared" si="158"/>
        <v>11293.327421514814</v>
      </c>
      <c r="J170" s="82">
        <f t="shared" si="159"/>
        <v>4.1000000000000002E-2</v>
      </c>
      <c r="K170" s="81"/>
      <c r="L170" s="81">
        <f t="shared" si="160"/>
        <v>3294183.7292228895</v>
      </c>
      <c r="M170" s="83">
        <f t="shared" si="155"/>
        <v>14317.128903717063</v>
      </c>
      <c r="N170" s="84"/>
      <c r="O170" s="72">
        <v>129</v>
      </c>
      <c r="P170" s="47" t="str">
        <f>IF(S169&gt;0.005,"September","")</f>
        <v/>
      </c>
      <c r="Q170" s="80">
        <f t="shared" si="169"/>
        <v>0</v>
      </c>
      <c r="R170" s="80">
        <f t="shared" si="161"/>
        <v>0</v>
      </c>
      <c r="S170" s="80">
        <f t="shared" si="162"/>
        <v>0</v>
      </c>
      <c r="T170" s="47"/>
      <c r="U170" s="84"/>
      <c r="V170" s="72">
        <v>129</v>
      </c>
      <c r="W170" s="47" t="e">
        <f>IF(Z169&gt;0.005,"September","")</f>
        <v>#NAME?</v>
      </c>
      <c r="X170" s="80" t="e">
        <f t="shared" si="163"/>
        <v>#NAME?</v>
      </c>
      <c r="Y170" s="80"/>
      <c r="Z170" s="80" t="e">
        <f t="shared" si="164"/>
        <v>#NAME?</v>
      </c>
      <c r="AA170" s="47"/>
      <c r="AB170" s="84"/>
      <c r="AC170" s="83"/>
      <c r="AD170" s="47" t="str">
        <f>IF(AG169&gt;0.005,"September","")</f>
        <v/>
      </c>
      <c r="AE170" s="80">
        <f t="shared" si="165"/>
        <v>0</v>
      </c>
      <c r="AF170" s="80">
        <f t="shared" si="166"/>
        <v>0</v>
      </c>
      <c r="AG170" s="80">
        <f t="shared" si="167"/>
        <v>0</v>
      </c>
      <c r="AH170" s="47"/>
    </row>
    <row r="171" spans="2:34" x14ac:dyDescent="0.25">
      <c r="B171" s="72">
        <v>130</v>
      </c>
      <c r="C171" s="47" t="str">
        <f>IF(F170&gt;0.005,"October","")</f>
        <v>October</v>
      </c>
      <c r="D171" s="80">
        <f t="shared" si="168"/>
        <v>13463</v>
      </c>
      <c r="E171" s="80">
        <f t="shared" si="156"/>
        <v>11180.11692622687</v>
      </c>
      <c r="F171" s="80">
        <f t="shared" si="157"/>
        <v>3929209.0565167372</v>
      </c>
      <c r="G171" s="47"/>
      <c r="I171" s="81">
        <f t="shared" si="158"/>
        <v>11255.12774151154</v>
      </c>
      <c r="J171" s="82">
        <f t="shared" si="159"/>
        <v>4.1000000000000002E-2</v>
      </c>
      <c r="K171" s="81"/>
      <c r="L171" s="81">
        <f t="shared" si="160"/>
        <v>3283041.152758793</v>
      </c>
      <c r="M171" s="83">
        <f t="shared" si="155"/>
        <v>14330.494557374124</v>
      </c>
      <c r="N171" s="84"/>
      <c r="O171" s="72">
        <v>130</v>
      </c>
      <c r="P171" s="47" t="str">
        <f>IF(S170&gt;0.005,"October","")</f>
        <v/>
      </c>
      <c r="Q171" s="80">
        <f t="shared" si="169"/>
        <v>0</v>
      </c>
      <c r="R171" s="80">
        <f t="shared" si="161"/>
        <v>0</v>
      </c>
      <c r="S171" s="80">
        <f t="shared" si="162"/>
        <v>0</v>
      </c>
      <c r="T171" s="47"/>
      <c r="U171" s="84"/>
      <c r="V171" s="72">
        <v>130</v>
      </c>
      <c r="W171" s="47" t="e">
        <f>IF(Z170&gt;0.005,"October","")</f>
        <v>#NAME?</v>
      </c>
      <c r="X171" s="80" t="e">
        <f t="shared" si="163"/>
        <v>#NAME?</v>
      </c>
      <c r="Y171" s="80"/>
      <c r="Z171" s="80" t="e">
        <f t="shared" si="164"/>
        <v>#NAME?</v>
      </c>
      <c r="AA171" s="47"/>
      <c r="AB171" s="84"/>
      <c r="AC171" s="83"/>
      <c r="AD171" s="47" t="str">
        <f>IF(AG170&gt;0.005,"October","")</f>
        <v/>
      </c>
      <c r="AE171" s="80">
        <f t="shared" si="165"/>
        <v>0</v>
      </c>
      <c r="AF171" s="80">
        <f t="shared" si="166"/>
        <v>0</v>
      </c>
      <c r="AG171" s="80">
        <f t="shared" si="167"/>
        <v>0</v>
      </c>
      <c r="AH171" s="47"/>
    </row>
    <row r="172" spans="2:34" x14ac:dyDescent="0.25">
      <c r="B172" s="72">
        <v>131</v>
      </c>
      <c r="C172" s="47" t="str">
        <f>IF(F171&gt;0.005,"November","")</f>
        <v>November</v>
      </c>
      <c r="D172" s="80">
        <f t="shared" si="168"/>
        <v>13424.8</v>
      </c>
      <c r="E172" s="80">
        <f t="shared" si="156"/>
        <v>11218.316926226871</v>
      </c>
      <c r="F172" s="80">
        <f t="shared" si="157"/>
        <v>3917990.7395905103</v>
      </c>
      <c r="G172" s="47"/>
      <c r="I172" s="81">
        <f t="shared" si="158"/>
        <v>11217.057271925876</v>
      </c>
      <c r="J172" s="82">
        <f t="shared" si="159"/>
        <v>4.1000000000000002E-2</v>
      </c>
      <c r="K172" s="81"/>
      <c r="L172" s="81">
        <f t="shared" si="160"/>
        <v>3271936.2660595863</v>
      </c>
      <c r="M172" s="83">
        <f t="shared" si="155"/>
        <v>14344.143842884829</v>
      </c>
      <c r="N172" s="84"/>
      <c r="O172" s="72">
        <v>131</v>
      </c>
      <c r="P172" s="47" t="str">
        <f>IF(S171&gt;0.005,"November","")</f>
        <v/>
      </c>
      <c r="Q172" s="80">
        <f t="shared" si="169"/>
        <v>0</v>
      </c>
      <c r="R172" s="80">
        <f t="shared" si="161"/>
        <v>0</v>
      </c>
      <c r="S172" s="80">
        <f t="shared" si="162"/>
        <v>0</v>
      </c>
      <c r="T172" s="47"/>
      <c r="U172" s="84"/>
      <c r="V172" s="72">
        <v>131</v>
      </c>
      <c r="W172" s="47" t="e">
        <f>IF(Z171&gt;0.005,"November","")</f>
        <v>#NAME?</v>
      </c>
      <c r="X172" s="80" t="e">
        <f t="shared" si="163"/>
        <v>#NAME?</v>
      </c>
      <c r="Y172" s="80"/>
      <c r="Z172" s="80" t="e">
        <f t="shared" si="164"/>
        <v>#NAME?</v>
      </c>
      <c r="AA172" s="47"/>
      <c r="AB172" s="84"/>
      <c r="AC172" s="83"/>
      <c r="AD172" s="47" t="str">
        <f>IF(AG171&gt;0.005,"November","")</f>
        <v/>
      </c>
      <c r="AE172" s="80">
        <f t="shared" si="165"/>
        <v>0</v>
      </c>
      <c r="AF172" s="80">
        <f t="shared" si="166"/>
        <v>0</v>
      </c>
      <c r="AG172" s="80">
        <f t="shared" si="167"/>
        <v>0</v>
      </c>
      <c r="AH172" s="47"/>
    </row>
    <row r="173" spans="2:34" x14ac:dyDescent="0.25">
      <c r="B173" s="72">
        <v>132</v>
      </c>
      <c r="C173" s="47" t="str">
        <f>IF(F172&gt;0.005,"December","")</f>
        <v>December</v>
      </c>
      <c r="D173" s="80">
        <f>IF(F172&gt;0,ROUND(F172*($F$6/12),2),0)</f>
        <v>13386.47</v>
      </c>
      <c r="E173" s="80">
        <f t="shared" si="156"/>
        <v>11256.646926226871</v>
      </c>
      <c r="F173" s="80">
        <f t="shared" si="157"/>
        <v>3906734.0926642832</v>
      </c>
      <c r="G173" s="47"/>
      <c r="I173" s="81">
        <f t="shared" si="158"/>
        <v>11179.115575703587</v>
      </c>
      <c r="J173" s="82">
        <f t="shared" si="159"/>
        <v>4.1000000000000002E-2</v>
      </c>
      <c r="K173" s="81"/>
      <c r="L173" s="81">
        <f t="shared" si="160"/>
        <v>3260868.9416396394</v>
      </c>
      <c r="M173" s="83">
        <f t="shared" si="155"/>
        <v>14358.079922386984</v>
      </c>
      <c r="N173" s="84"/>
      <c r="O173" s="72">
        <v>132</v>
      </c>
      <c r="P173" s="47" t="str">
        <f>IF(S172&gt;0.005,"December","")</f>
        <v/>
      </c>
      <c r="Q173" s="80">
        <f t="shared" si="169"/>
        <v>0</v>
      </c>
      <c r="R173" s="80">
        <f t="shared" si="161"/>
        <v>0</v>
      </c>
      <c r="S173" s="80">
        <f t="shared" si="162"/>
        <v>0</v>
      </c>
      <c r="T173" s="47"/>
      <c r="U173" s="84"/>
      <c r="V173" s="72">
        <v>132</v>
      </c>
      <c r="W173" s="47" t="e">
        <f>IF(Z172&gt;0.005,"December","")</f>
        <v>#NAME?</v>
      </c>
      <c r="X173" s="80" t="e">
        <f t="shared" si="163"/>
        <v>#NAME?</v>
      </c>
      <c r="Y173" s="80"/>
      <c r="Z173" s="80" t="e">
        <f t="shared" si="164"/>
        <v>#NAME?</v>
      </c>
      <c r="AA173" s="47"/>
      <c r="AB173" s="84"/>
      <c r="AC173" s="83"/>
      <c r="AD173" s="47" t="str">
        <f>IF(AG172&gt;0.005,"December","")</f>
        <v/>
      </c>
      <c r="AE173" s="80">
        <f t="shared" si="165"/>
        <v>0</v>
      </c>
      <c r="AF173" s="80">
        <f t="shared" si="166"/>
        <v>0</v>
      </c>
      <c r="AG173" s="80">
        <f t="shared" si="167"/>
        <v>0</v>
      </c>
      <c r="AH173" s="47"/>
    </row>
    <row r="174" spans="2:34" x14ac:dyDescent="0.25">
      <c r="B174" s="46"/>
      <c r="C174" s="85" t="str">
        <f>"Total "&amp;YEAR($C$9)+10</f>
        <v>Total 2029</v>
      </c>
      <c r="D174" s="86">
        <f>SUM(D162:D173)</f>
        <v>163138.85999999999</v>
      </c>
      <c r="E174" s="86">
        <f>SUM(E162:E173)</f>
        <v>132578.54311472244</v>
      </c>
      <c r="F174" s="87"/>
      <c r="G174" s="47"/>
      <c r="I174" s="86">
        <f>SUM(I162:I173)</f>
        <v>136682.0865203852</v>
      </c>
      <c r="J174" s="46"/>
      <c r="K174" s="86">
        <f>SUM(K162:K173)</f>
        <v>0</v>
      </c>
      <c r="L174" s="46"/>
      <c r="M174" s="46"/>
      <c r="O174" s="46"/>
      <c r="P174" s="85" t="str">
        <f>"Total "&amp;YEAR($C$9)+10</f>
        <v>Total 2029</v>
      </c>
      <c r="Q174" s="86">
        <f>SUM(Q162:Q173)</f>
        <v>0</v>
      </c>
      <c r="R174" s="86">
        <f>SUM(R162:R173)</f>
        <v>0</v>
      </c>
      <c r="S174" s="87"/>
      <c r="T174" s="47"/>
      <c r="V174" s="46"/>
      <c r="W174" s="85" t="str">
        <f>"Total "&amp;YEAR($C$9)+10</f>
        <v>Total 2029</v>
      </c>
      <c r="X174" s="86" t="e">
        <f>SUM(X162:X173)</f>
        <v>#NAME?</v>
      </c>
      <c r="Y174" s="86">
        <f>SUM(Y162:Y173)</f>
        <v>0</v>
      </c>
      <c r="Z174" s="87"/>
      <c r="AA174" s="47"/>
      <c r="AC174" s="46"/>
      <c r="AD174" s="85" t="str">
        <f>"Total "&amp;YEAR($C$9)+10</f>
        <v>Total 2029</v>
      </c>
      <c r="AE174" s="86">
        <f>SUM(AE162:AE173)</f>
        <v>0</v>
      </c>
      <c r="AF174" s="86">
        <f>SUM(AF162:AF173)</f>
        <v>0</v>
      </c>
      <c r="AG174" s="87"/>
      <c r="AH174" s="47"/>
    </row>
    <row r="175" spans="2:34" x14ac:dyDescent="0.25">
      <c r="B175" s="46"/>
      <c r="C175" s="50"/>
      <c r="D175" s="88"/>
      <c r="E175" s="88"/>
      <c r="F175" s="80"/>
      <c r="G175" s="47"/>
      <c r="I175" s="46"/>
      <c r="J175" s="46"/>
      <c r="K175" s="46"/>
      <c r="L175" s="46"/>
      <c r="M175" s="46"/>
      <c r="O175" s="46"/>
      <c r="P175" s="50"/>
      <c r="Q175" s="88"/>
      <c r="R175" s="88"/>
      <c r="S175" s="80"/>
      <c r="T175" s="47"/>
      <c r="V175" s="46"/>
      <c r="W175" s="50"/>
      <c r="X175" s="88"/>
      <c r="Y175" s="88"/>
      <c r="Z175" s="80"/>
      <c r="AA175" s="47"/>
      <c r="AC175" s="46"/>
      <c r="AD175" s="50"/>
      <c r="AE175" s="88"/>
      <c r="AF175" s="88"/>
      <c r="AG175" s="80"/>
      <c r="AH175" s="47"/>
    </row>
    <row r="176" spans="2:34" x14ac:dyDescent="0.25">
      <c r="B176" s="46"/>
      <c r="C176" s="47"/>
      <c r="D176" s="75" t="s">
        <v>62</v>
      </c>
      <c r="E176" s="75" t="s">
        <v>63</v>
      </c>
      <c r="F176" s="75" t="s">
        <v>64</v>
      </c>
      <c r="G176" s="47"/>
      <c r="I176" s="46"/>
      <c r="J176" s="46"/>
      <c r="K176" s="46"/>
      <c r="L176" s="46"/>
      <c r="M176" s="46"/>
      <c r="O176" s="46"/>
      <c r="P176" s="47"/>
      <c r="Q176" s="75" t="s">
        <v>62</v>
      </c>
      <c r="R176" s="75" t="s">
        <v>63</v>
      </c>
      <c r="S176" s="75" t="s">
        <v>64</v>
      </c>
      <c r="T176" s="47"/>
      <c r="V176" s="46"/>
      <c r="W176" s="47"/>
      <c r="X176" s="75" t="s">
        <v>62</v>
      </c>
      <c r="Y176" s="75" t="s">
        <v>63</v>
      </c>
      <c r="Z176" s="75" t="s">
        <v>64</v>
      </c>
      <c r="AA176" s="47"/>
      <c r="AC176" s="46"/>
      <c r="AD176" s="47"/>
      <c r="AE176" s="75" t="s">
        <v>62</v>
      </c>
      <c r="AF176" s="75" t="s">
        <v>63</v>
      </c>
      <c r="AG176" s="75" t="s">
        <v>64</v>
      </c>
      <c r="AH176" s="47"/>
    </row>
    <row r="177" spans="2:34" x14ac:dyDescent="0.25">
      <c r="B177" s="72">
        <v>133</v>
      </c>
      <c r="C177" s="47" t="str">
        <f>IF(F173&gt;0.005,"January","")</f>
        <v>January</v>
      </c>
      <c r="D177" s="80">
        <f>IF(F173&gt;0,ROUND(F173*($F$6/12),2),0)</f>
        <v>13348.01</v>
      </c>
      <c r="E177" s="80">
        <f>IF(F173&lt;$D$8,F173,$D$8-D177)</f>
        <v>11295.10692622687</v>
      </c>
      <c r="F177" s="80">
        <f>IF(F173-E177&gt;0,F173-E177,0)</f>
        <v>3895438.9857380562</v>
      </c>
      <c r="G177" s="47"/>
      <c r="I177" s="81">
        <f>L173*J177/12</f>
        <v>11141.302217268769</v>
      </c>
      <c r="J177" s="82">
        <f>$F$6</f>
        <v>4.1000000000000002E-2</v>
      </c>
      <c r="K177" s="81"/>
      <c r="L177" s="81">
        <f>MAX(L173+L173*($F$6/100)/12-I177-K177,0)</f>
        <v>3249839.0524445432</v>
      </c>
      <c r="M177" s="83">
        <f t="shared" ref="M177:M188" si="170">-PMT(($F$6/100)/12,$D$7-B177,L177,0,0)</f>
        <v>14372.30601568462</v>
      </c>
      <c r="N177" s="84"/>
      <c r="O177" s="72">
        <v>133</v>
      </c>
      <c r="P177" s="47" t="str">
        <f>IF(S173&gt;0.005,"January","")</f>
        <v/>
      </c>
      <c r="Q177" s="80">
        <f>IF(O177&lt;$S$7,"",IF(O177=$S$7,$Q$6*($S$6/12),S173*($S$6/12)))</f>
        <v>0</v>
      </c>
      <c r="R177" s="80">
        <f>IF(O177&lt;$S$7,"",$Q$8-Q177)</f>
        <v>0</v>
      </c>
      <c r="S177" s="80">
        <f>IF(O177&lt;$S$7,"",IF(O177=$S$7,$Q$6-R177,S173-R177))</f>
        <v>0</v>
      </c>
      <c r="T177" s="47"/>
      <c r="U177" s="84"/>
      <c r="V177" s="72">
        <v>133</v>
      </c>
      <c r="W177" s="47" t="e">
        <f>IF(Z173&gt;0.005,"January","")</f>
        <v>#NAME?</v>
      </c>
      <c r="X177" s="80" t="e">
        <f>IF(V177&lt;$Z$7,"",($Z$6/12)*$X$6)</f>
        <v>#NAME?</v>
      </c>
      <c r="Y177" s="80"/>
      <c r="Z177" s="80" t="e">
        <f>IF(V177&lt;$S$7,"",$X$6)</f>
        <v>#NAME?</v>
      </c>
      <c r="AA177" s="47"/>
      <c r="AB177" s="84"/>
      <c r="AC177" s="83"/>
      <c r="AD177" s="47" t="str">
        <f>IF(AG173&gt;0.005,"January","")</f>
        <v/>
      </c>
      <c r="AE177" s="80">
        <f>IF(AG173&gt;0,ROUND(AG173*($AG$6/1200),2),0)</f>
        <v>0</v>
      </c>
      <c r="AF177" s="80">
        <f>IF(AG173&lt;$AE$8,AG173,$AE$8-AE177)</f>
        <v>0</v>
      </c>
      <c r="AG177" s="80">
        <f>IF(AG173-AF177&gt;0,AG173-AF177,0)</f>
        <v>0</v>
      </c>
      <c r="AH177" s="47"/>
    </row>
    <row r="178" spans="2:34" x14ac:dyDescent="0.25">
      <c r="B178" s="72">
        <v>134</v>
      </c>
      <c r="C178" s="47" t="str">
        <f>IF(F177&gt;0.005,"February","")</f>
        <v>February</v>
      </c>
      <c r="D178" s="80">
        <f>IF(F177&gt;0,ROUND(F177*($F$6/12),2),0)</f>
        <v>13309.42</v>
      </c>
      <c r="E178" s="80">
        <f t="shared" ref="E178:E188" si="171">IF(F177&lt;$D$8,F177,$D$8-D178)</f>
        <v>11333.69692622687</v>
      </c>
      <c r="F178" s="80">
        <f t="shared" ref="F178:F188" si="172">IF(F177-E178&gt;0,F177-E178,0)</f>
        <v>3884105.2888118294</v>
      </c>
      <c r="G178" s="47"/>
      <c r="I178" s="81">
        <f t="shared" ref="I178:I188" si="173">L177*J178/12</f>
        <v>11103.616762518855</v>
      </c>
      <c r="J178" s="82">
        <f t="shared" ref="J178:J188" si="174">$F$6</f>
        <v>4.1000000000000002E-2</v>
      </c>
      <c r="K178" s="81"/>
      <c r="L178" s="81">
        <f t="shared" ref="L178:L188" si="175">MAX(L177+L177*($F$6/100)/12-I178-K178,0)</f>
        <v>3238846.4718496497</v>
      </c>
      <c r="M178" s="83">
        <f t="shared" si="170"/>
        <v>14386.825401517153</v>
      </c>
      <c r="N178" s="84"/>
      <c r="O178" s="72">
        <v>134</v>
      </c>
      <c r="P178" s="47" t="str">
        <f>IF(S177&gt;0.005,"February","")</f>
        <v/>
      </c>
      <c r="Q178" s="80">
        <f>IF(O178&lt;$S$7,"",IF(O178=$S$7,$Q$6*($S$6/12),S177*($S$6/12)))</f>
        <v>0</v>
      </c>
      <c r="R178" s="80">
        <f t="shared" ref="R178:R188" si="176">IF(O178&lt;$S$7,"",$Q$8-Q178)</f>
        <v>0</v>
      </c>
      <c r="S178" s="80">
        <f t="shared" ref="S178:S188" si="177">IF(O178&lt;$S$7,"",IF(O178=$S$7,$Q$6-R178,S177-R178))</f>
        <v>0</v>
      </c>
      <c r="T178" s="47"/>
      <c r="U178" s="84"/>
      <c r="V178" s="72">
        <v>134</v>
      </c>
      <c r="W178" s="47" t="e">
        <f>IF(Z177&gt;0.005,"February","")</f>
        <v>#NAME?</v>
      </c>
      <c r="X178" s="80" t="e">
        <f t="shared" ref="X178:X188" si="178">IF(V178&lt;$Z$7,"",($Z$6/12)*$X$6)</f>
        <v>#NAME?</v>
      </c>
      <c r="Y178" s="80"/>
      <c r="Z178" s="80" t="e">
        <f t="shared" ref="Z178:Z188" si="179">IF(V178&lt;$S$7,"",$X$6)</f>
        <v>#NAME?</v>
      </c>
      <c r="AA178" s="47"/>
      <c r="AB178" s="84"/>
      <c r="AC178" s="83"/>
      <c r="AD178" s="47" t="str">
        <f>IF(AG177&gt;0.005,"February","")</f>
        <v/>
      </c>
      <c r="AE178" s="80">
        <f t="shared" ref="AE178:AE188" si="180">IF(AG177&gt;0,ROUND(AG177*($AG$6/1200),2),0)</f>
        <v>0</v>
      </c>
      <c r="AF178" s="80">
        <f t="shared" ref="AF178:AF188" si="181">IF(AG177&lt;$AE$8,AG177,$AE$8-AE178)</f>
        <v>0</v>
      </c>
      <c r="AG178" s="80">
        <f t="shared" ref="AG178:AG188" si="182">IF(AG177-AF178&gt;0,AG177-AF178,0)</f>
        <v>0</v>
      </c>
      <c r="AH178" s="47"/>
    </row>
    <row r="179" spans="2:34" x14ac:dyDescent="0.25">
      <c r="B179" s="72">
        <v>135</v>
      </c>
      <c r="C179" s="47" t="str">
        <f>IF(F178&gt;0.005,"March","")</f>
        <v>March</v>
      </c>
      <c r="D179" s="80">
        <f t="shared" ref="D179:D187" si="183">IF(F178&gt;0,ROUND(F178*($F$6/12),2),0)</f>
        <v>13270.69</v>
      </c>
      <c r="E179" s="80">
        <f t="shared" si="171"/>
        <v>11372.42692622687</v>
      </c>
      <c r="F179" s="80">
        <f t="shared" si="172"/>
        <v>3872732.8618856026</v>
      </c>
      <c r="G179" s="47"/>
      <c r="I179" s="81">
        <f t="shared" si="173"/>
        <v>11066.058778819637</v>
      </c>
      <c r="J179" s="82">
        <f t="shared" si="174"/>
        <v>4.1000000000000002E-2</v>
      </c>
      <c r="K179" s="81"/>
      <c r="L179" s="81">
        <f t="shared" si="175"/>
        <v>3227891.0736586181</v>
      </c>
      <c r="M179" s="83">
        <f t="shared" si="170"/>
        <v>14401.641418862375</v>
      </c>
      <c r="N179" s="84"/>
      <c r="O179" s="72">
        <v>135</v>
      </c>
      <c r="P179" s="47" t="str">
        <f>IF(S178&gt;0.005,"March","")</f>
        <v/>
      </c>
      <c r="Q179" s="80">
        <f t="shared" ref="Q179:Q188" si="184">IF(O179&lt;$S$7,"",IF(O179=$S$7,$Q$6*($S$6/12),S178*($S$6/12)))</f>
        <v>0</v>
      </c>
      <c r="R179" s="80">
        <f t="shared" si="176"/>
        <v>0</v>
      </c>
      <c r="S179" s="80">
        <f t="shared" si="177"/>
        <v>0</v>
      </c>
      <c r="T179" s="47"/>
      <c r="U179" s="84"/>
      <c r="V179" s="72">
        <v>135</v>
      </c>
      <c r="W179" s="47" t="e">
        <f>IF(Z178&gt;0.005,"March","")</f>
        <v>#NAME?</v>
      </c>
      <c r="X179" s="80" t="e">
        <f t="shared" si="178"/>
        <v>#NAME?</v>
      </c>
      <c r="Y179" s="80"/>
      <c r="Z179" s="80" t="e">
        <f t="shared" si="179"/>
        <v>#NAME?</v>
      </c>
      <c r="AA179" s="47"/>
      <c r="AB179" s="84"/>
      <c r="AC179" s="83"/>
      <c r="AD179" s="47" t="str">
        <f>IF(AG178&gt;0.005,"March","")</f>
        <v/>
      </c>
      <c r="AE179" s="80">
        <f t="shared" si="180"/>
        <v>0</v>
      </c>
      <c r="AF179" s="80">
        <f t="shared" si="181"/>
        <v>0</v>
      </c>
      <c r="AG179" s="80">
        <f t="shared" si="182"/>
        <v>0</v>
      </c>
      <c r="AH179" s="47"/>
    </row>
    <row r="180" spans="2:34" x14ac:dyDescent="0.25">
      <c r="B180" s="72">
        <v>136</v>
      </c>
      <c r="C180" s="47" t="str">
        <f>IF(F179&gt;0.005,"April","")</f>
        <v>April</v>
      </c>
      <c r="D180" s="80">
        <f t="shared" si="183"/>
        <v>13231.84</v>
      </c>
      <c r="E180" s="80">
        <f t="shared" si="171"/>
        <v>11411.27692622687</v>
      </c>
      <c r="F180" s="80">
        <f t="shared" si="172"/>
        <v>3861321.5849593757</v>
      </c>
      <c r="G180" s="47"/>
      <c r="I180" s="81">
        <f t="shared" si="173"/>
        <v>11028.627835000278</v>
      </c>
      <c r="J180" s="82">
        <f t="shared" si="174"/>
        <v>4.1000000000000002E-2</v>
      </c>
      <c r="K180" s="81"/>
      <c r="L180" s="81">
        <f t="shared" si="175"/>
        <v>3216972.7321019676</v>
      </c>
      <c r="M180" s="83">
        <f t="shared" si="170"/>
        <v>14416.757468274442</v>
      </c>
      <c r="N180" s="84"/>
      <c r="O180" s="72">
        <v>136</v>
      </c>
      <c r="P180" s="47" t="str">
        <f>IF(S179&gt;0.005,"April","")</f>
        <v/>
      </c>
      <c r="Q180" s="80">
        <f t="shared" si="184"/>
        <v>0</v>
      </c>
      <c r="R180" s="80">
        <f t="shared" si="176"/>
        <v>0</v>
      </c>
      <c r="S180" s="80">
        <f t="shared" si="177"/>
        <v>0</v>
      </c>
      <c r="T180" s="47"/>
      <c r="U180" s="84"/>
      <c r="V180" s="72">
        <v>136</v>
      </c>
      <c r="W180" s="47" t="e">
        <f>IF(Z179&gt;0.005,"April","")</f>
        <v>#NAME?</v>
      </c>
      <c r="X180" s="80" t="e">
        <f t="shared" si="178"/>
        <v>#NAME?</v>
      </c>
      <c r="Y180" s="80"/>
      <c r="Z180" s="80" t="e">
        <f t="shared" si="179"/>
        <v>#NAME?</v>
      </c>
      <c r="AA180" s="47"/>
      <c r="AB180" s="84"/>
      <c r="AC180" s="83"/>
      <c r="AD180" s="47" t="str">
        <f>IF(AG179&gt;0.005,"April","")</f>
        <v/>
      </c>
      <c r="AE180" s="80">
        <f t="shared" si="180"/>
        <v>0</v>
      </c>
      <c r="AF180" s="80">
        <f t="shared" si="181"/>
        <v>0</v>
      </c>
      <c r="AG180" s="80">
        <f t="shared" si="182"/>
        <v>0</v>
      </c>
      <c r="AH180" s="47"/>
    </row>
    <row r="181" spans="2:34" x14ac:dyDescent="0.25">
      <c r="B181" s="72">
        <v>137</v>
      </c>
      <c r="C181" s="47" t="str">
        <f>IF(F180&gt;0.005,"May","")</f>
        <v>May</v>
      </c>
      <c r="D181" s="80">
        <f t="shared" si="183"/>
        <v>13192.85</v>
      </c>
      <c r="E181" s="80">
        <f t="shared" si="171"/>
        <v>11450.26692622687</v>
      </c>
      <c r="F181" s="80">
        <f t="shared" si="172"/>
        <v>3849871.318033149</v>
      </c>
      <c r="G181" s="47"/>
      <c r="I181" s="81">
        <f t="shared" si="173"/>
        <v>10991.323501348388</v>
      </c>
      <c r="J181" s="82">
        <f t="shared" si="174"/>
        <v>4.1000000000000002E-2</v>
      </c>
      <c r="K181" s="81"/>
      <c r="L181" s="81">
        <f t="shared" si="175"/>
        <v>3206091.3218356324</v>
      </c>
      <c r="M181" s="83">
        <f t="shared" si="170"/>
        <v>14432.177013257835</v>
      </c>
      <c r="N181" s="84"/>
      <c r="O181" s="72">
        <v>137</v>
      </c>
      <c r="P181" s="47" t="str">
        <f>IF(S180&gt;0.005,"May","")</f>
        <v/>
      </c>
      <c r="Q181" s="80">
        <f t="shared" si="184"/>
        <v>0</v>
      </c>
      <c r="R181" s="80">
        <f t="shared" si="176"/>
        <v>0</v>
      </c>
      <c r="S181" s="80">
        <f t="shared" si="177"/>
        <v>0</v>
      </c>
      <c r="T181" s="47"/>
      <c r="U181" s="84"/>
      <c r="V181" s="72">
        <v>137</v>
      </c>
      <c r="W181" s="47" t="e">
        <f>IF(Z180&gt;0.005,"May","")</f>
        <v>#NAME?</v>
      </c>
      <c r="X181" s="80" t="e">
        <f t="shared" si="178"/>
        <v>#NAME?</v>
      </c>
      <c r="Y181" s="80"/>
      <c r="Z181" s="80" t="e">
        <f t="shared" si="179"/>
        <v>#NAME?</v>
      </c>
      <c r="AA181" s="47"/>
      <c r="AB181" s="84"/>
      <c r="AC181" s="83"/>
      <c r="AD181" s="47" t="str">
        <f>IF(AG180&gt;0.005,"May","")</f>
        <v/>
      </c>
      <c r="AE181" s="80">
        <f t="shared" si="180"/>
        <v>0</v>
      </c>
      <c r="AF181" s="80">
        <f t="shared" si="181"/>
        <v>0</v>
      </c>
      <c r="AG181" s="80">
        <f t="shared" si="182"/>
        <v>0</v>
      </c>
      <c r="AH181" s="47"/>
    </row>
    <row r="182" spans="2:34" x14ac:dyDescent="0.25">
      <c r="B182" s="72">
        <v>138</v>
      </c>
      <c r="C182" s="47" t="str">
        <f>IF(F181&gt;0.005,"June","")</f>
        <v>June</v>
      </c>
      <c r="D182" s="80">
        <f t="shared" si="183"/>
        <v>13153.73</v>
      </c>
      <c r="E182" s="80">
        <f t="shared" si="171"/>
        <v>11489.386926226871</v>
      </c>
      <c r="F182" s="80">
        <f t="shared" si="172"/>
        <v>3838381.9311069222</v>
      </c>
      <c r="G182" s="47"/>
      <c r="I182" s="81">
        <f t="shared" si="173"/>
        <v>10954.145349605076</v>
      </c>
      <c r="J182" s="82">
        <f t="shared" si="174"/>
        <v>4.1000000000000002E-2</v>
      </c>
      <c r="K182" s="81"/>
      <c r="L182" s="81">
        <f t="shared" si="175"/>
        <v>3195246.7179395235</v>
      </c>
      <c r="M182" s="83">
        <f t="shared" si="170"/>
        <v>14447.903581678467</v>
      </c>
      <c r="N182" s="84"/>
      <c r="O182" s="72">
        <v>138</v>
      </c>
      <c r="P182" s="47" t="str">
        <f>IF(S181&gt;0.005,"June","")</f>
        <v/>
      </c>
      <c r="Q182" s="80">
        <f t="shared" si="184"/>
        <v>0</v>
      </c>
      <c r="R182" s="80">
        <f t="shared" si="176"/>
        <v>0</v>
      </c>
      <c r="S182" s="80">
        <f t="shared" si="177"/>
        <v>0</v>
      </c>
      <c r="T182" s="47"/>
      <c r="U182" s="84"/>
      <c r="V182" s="72">
        <v>138</v>
      </c>
      <c r="W182" s="47" t="e">
        <f>IF(Z181&gt;0.005,"June","")</f>
        <v>#NAME?</v>
      </c>
      <c r="X182" s="80" t="e">
        <f t="shared" si="178"/>
        <v>#NAME?</v>
      </c>
      <c r="Y182" s="80"/>
      <c r="Z182" s="80" t="e">
        <f t="shared" si="179"/>
        <v>#NAME?</v>
      </c>
      <c r="AA182" s="47"/>
      <c r="AB182" s="84"/>
      <c r="AC182" s="83"/>
      <c r="AD182" s="47" t="str">
        <f>IF(AG181&gt;0.005,"June","")</f>
        <v/>
      </c>
      <c r="AE182" s="80">
        <f t="shared" si="180"/>
        <v>0</v>
      </c>
      <c r="AF182" s="80">
        <f t="shared" si="181"/>
        <v>0</v>
      </c>
      <c r="AG182" s="80">
        <f t="shared" si="182"/>
        <v>0</v>
      </c>
      <c r="AH182" s="47"/>
    </row>
    <row r="183" spans="2:34" x14ac:dyDescent="0.25">
      <c r="B183" s="72">
        <v>139</v>
      </c>
      <c r="C183" s="47" t="str">
        <f>IF(F182&gt;0.005,"July","")</f>
        <v>July</v>
      </c>
      <c r="D183" s="80">
        <f t="shared" si="183"/>
        <v>13114.47</v>
      </c>
      <c r="E183" s="80">
        <f t="shared" si="171"/>
        <v>11528.646926226871</v>
      </c>
      <c r="F183" s="80">
        <f t="shared" si="172"/>
        <v>3826853.2841806952</v>
      </c>
      <c r="G183" s="47"/>
      <c r="I183" s="81">
        <f t="shared" si="173"/>
        <v>10917.092952960038</v>
      </c>
      <c r="J183" s="82">
        <f t="shared" si="174"/>
        <v>4.1000000000000002E-2</v>
      </c>
      <c r="K183" s="81"/>
      <c r="L183" s="81">
        <f t="shared" si="175"/>
        <v>3184438.795916093</v>
      </c>
      <c r="M183" s="83">
        <f t="shared" si="170"/>
        <v>14463.940767213175</v>
      </c>
      <c r="N183" s="84"/>
      <c r="O183" s="72">
        <v>139</v>
      </c>
      <c r="P183" s="47" t="str">
        <f>IF(S182&gt;0.005,"July","")</f>
        <v/>
      </c>
      <c r="Q183" s="80">
        <f t="shared" si="184"/>
        <v>0</v>
      </c>
      <c r="R183" s="80">
        <f t="shared" si="176"/>
        <v>0</v>
      </c>
      <c r="S183" s="80">
        <f t="shared" si="177"/>
        <v>0</v>
      </c>
      <c r="T183" s="47"/>
      <c r="U183" s="84"/>
      <c r="V183" s="72">
        <v>139</v>
      </c>
      <c r="W183" s="47" t="e">
        <f>IF(Z182&gt;0.005,"July","")</f>
        <v>#NAME?</v>
      </c>
      <c r="X183" s="80" t="e">
        <f t="shared" si="178"/>
        <v>#NAME?</v>
      </c>
      <c r="Y183" s="80"/>
      <c r="Z183" s="80" t="e">
        <f t="shared" si="179"/>
        <v>#NAME?</v>
      </c>
      <c r="AA183" s="47"/>
      <c r="AB183" s="84"/>
      <c r="AC183" s="83"/>
      <c r="AD183" s="47" t="str">
        <f>IF(AG182&gt;0.005,"July","")</f>
        <v/>
      </c>
      <c r="AE183" s="80">
        <f t="shared" si="180"/>
        <v>0</v>
      </c>
      <c r="AF183" s="80">
        <f t="shared" si="181"/>
        <v>0</v>
      </c>
      <c r="AG183" s="80">
        <f t="shared" si="182"/>
        <v>0</v>
      </c>
      <c r="AH183" s="47"/>
    </row>
    <row r="184" spans="2:34" x14ac:dyDescent="0.25">
      <c r="B184" s="72">
        <v>140</v>
      </c>
      <c r="C184" s="47" t="str">
        <f>IF(F183&gt;0.005,"August","")</f>
        <v>August</v>
      </c>
      <c r="D184" s="80">
        <f t="shared" si="183"/>
        <v>13075.08</v>
      </c>
      <c r="E184" s="80">
        <f t="shared" si="171"/>
        <v>11568.03692622687</v>
      </c>
      <c r="F184" s="80">
        <f t="shared" si="172"/>
        <v>3815285.2472544685</v>
      </c>
      <c r="G184" s="47"/>
      <c r="I184" s="81">
        <f t="shared" si="173"/>
        <v>10880.165886046652</v>
      </c>
      <c r="J184" s="82">
        <f t="shared" si="174"/>
        <v>4.1000000000000002E-2</v>
      </c>
      <c r="K184" s="81"/>
      <c r="L184" s="81">
        <f t="shared" si="175"/>
        <v>3173667.4316889066</v>
      </c>
      <c r="M184" s="83">
        <f t="shared" si="170"/>
        <v>14480.292230838719</v>
      </c>
      <c r="N184" s="84"/>
      <c r="O184" s="72">
        <v>140</v>
      </c>
      <c r="P184" s="47" t="str">
        <f>IF(S183&gt;0.005,"August","")</f>
        <v/>
      </c>
      <c r="Q184" s="80">
        <f t="shared" si="184"/>
        <v>0</v>
      </c>
      <c r="R184" s="80">
        <f t="shared" si="176"/>
        <v>0</v>
      </c>
      <c r="S184" s="80">
        <f t="shared" si="177"/>
        <v>0</v>
      </c>
      <c r="T184" s="47"/>
      <c r="U184" s="84"/>
      <c r="V184" s="72">
        <v>140</v>
      </c>
      <c r="W184" s="47" t="e">
        <f>IF(Z183&gt;0.005,"August","")</f>
        <v>#NAME?</v>
      </c>
      <c r="X184" s="80" t="e">
        <f t="shared" si="178"/>
        <v>#NAME?</v>
      </c>
      <c r="Y184" s="80"/>
      <c r="Z184" s="80" t="e">
        <f t="shared" si="179"/>
        <v>#NAME?</v>
      </c>
      <c r="AA184" s="47"/>
      <c r="AB184" s="84"/>
      <c r="AC184" s="83"/>
      <c r="AD184" s="47" t="str">
        <f>IF(AG183&gt;0.005,"August","")</f>
        <v/>
      </c>
      <c r="AE184" s="80">
        <f t="shared" si="180"/>
        <v>0</v>
      </c>
      <c r="AF184" s="80">
        <f t="shared" si="181"/>
        <v>0</v>
      </c>
      <c r="AG184" s="80">
        <f t="shared" si="182"/>
        <v>0</v>
      </c>
      <c r="AH184" s="47"/>
    </row>
    <row r="185" spans="2:34" x14ac:dyDescent="0.25">
      <c r="B185" s="72">
        <v>141</v>
      </c>
      <c r="C185" s="47" t="str">
        <f>IF(F184&gt;0.005,"September","")</f>
        <v>September</v>
      </c>
      <c r="D185" s="80">
        <f t="shared" si="183"/>
        <v>13035.56</v>
      </c>
      <c r="E185" s="80">
        <f t="shared" si="171"/>
        <v>11607.556926226871</v>
      </c>
      <c r="F185" s="80">
        <f t="shared" si="172"/>
        <v>3803677.6903282418</v>
      </c>
      <c r="G185" s="47"/>
      <c r="I185" s="81">
        <f t="shared" si="173"/>
        <v>10843.363724937099</v>
      </c>
      <c r="J185" s="82">
        <f t="shared" si="174"/>
        <v>4.1000000000000002E-2</v>
      </c>
      <c r="K185" s="81"/>
      <c r="L185" s="81">
        <f t="shared" si="175"/>
        <v>3162932.5016012187</v>
      </c>
      <c r="M185" s="83">
        <f t="shared" si="170"/>
        <v>14496.961702361614</v>
      </c>
      <c r="N185" s="84"/>
      <c r="O185" s="72">
        <v>141</v>
      </c>
      <c r="P185" s="47" t="str">
        <f>IF(S184&gt;0.005,"September","")</f>
        <v/>
      </c>
      <c r="Q185" s="80">
        <f t="shared" si="184"/>
        <v>0</v>
      </c>
      <c r="R185" s="80">
        <f t="shared" si="176"/>
        <v>0</v>
      </c>
      <c r="S185" s="80">
        <f t="shared" si="177"/>
        <v>0</v>
      </c>
      <c r="T185" s="47"/>
      <c r="U185" s="84"/>
      <c r="V185" s="72">
        <v>141</v>
      </c>
      <c r="W185" s="47" t="e">
        <f>IF(Z184&gt;0.005,"September","")</f>
        <v>#NAME?</v>
      </c>
      <c r="X185" s="80" t="e">
        <f t="shared" si="178"/>
        <v>#NAME?</v>
      </c>
      <c r="Y185" s="80"/>
      <c r="Z185" s="80" t="e">
        <f t="shared" si="179"/>
        <v>#NAME?</v>
      </c>
      <c r="AA185" s="47"/>
      <c r="AB185" s="84"/>
      <c r="AC185" s="83"/>
      <c r="AD185" s="47" t="str">
        <f>IF(AG184&gt;0.005,"September","")</f>
        <v/>
      </c>
      <c r="AE185" s="80">
        <f t="shared" si="180"/>
        <v>0</v>
      </c>
      <c r="AF185" s="80">
        <f t="shared" si="181"/>
        <v>0</v>
      </c>
      <c r="AG185" s="80">
        <f t="shared" si="182"/>
        <v>0</v>
      </c>
      <c r="AH185" s="47"/>
    </row>
    <row r="186" spans="2:34" x14ac:dyDescent="0.25">
      <c r="B186" s="72">
        <v>142</v>
      </c>
      <c r="C186" s="47" t="str">
        <f>IF(F185&gt;0.005,"October","")</f>
        <v>October</v>
      </c>
      <c r="D186" s="80">
        <f t="shared" si="183"/>
        <v>12995.9</v>
      </c>
      <c r="E186" s="80">
        <f t="shared" si="171"/>
        <v>11647.216926226871</v>
      </c>
      <c r="F186" s="80">
        <f t="shared" si="172"/>
        <v>3792030.4734020149</v>
      </c>
      <c r="G186" s="47"/>
      <c r="I186" s="81">
        <f t="shared" si="173"/>
        <v>10806.686047137498</v>
      </c>
      <c r="J186" s="82">
        <f t="shared" si="174"/>
        <v>4.1000000000000002E-2</v>
      </c>
      <c r="K186" s="81"/>
      <c r="L186" s="81">
        <f t="shared" si="175"/>
        <v>3152233.8824145524</v>
      </c>
      <c r="M186" s="83">
        <f t="shared" si="170"/>
        <v>14513.9529819901</v>
      </c>
      <c r="N186" s="84"/>
      <c r="O186" s="72">
        <v>142</v>
      </c>
      <c r="P186" s="47" t="str">
        <f>IF(S185&gt;0.005,"October","")</f>
        <v/>
      </c>
      <c r="Q186" s="80">
        <f t="shared" si="184"/>
        <v>0</v>
      </c>
      <c r="R186" s="80">
        <f t="shared" si="176"/>
        <v>0</v>
      </c>
      <c r="S186" s="80">
        <f t="shared" si="177"/>
        <v>0</v>
      </c>
      <c r="T186" s="47"/>
      <c r="U186" s="84"/>
      <c r="V186" s="72">
        <v>142</v>
      </c>
      <c r="W186" s="47" t="e">
        <f>IF(Z185&gt;0.005,"October","")</f>
        <v>#NAME?</v>
      </c>
      <c r="X186" s="80" t="e">
        <f t="shared" si="178"/>
        <v>#NAME?</v>
      </c>
      <c r="Y186" s="80"/>
      <c r="Z186" s="80" t="e">
        <f t="shared" si="179"/>
        <v>#NAME?</v>
      </c>
      <c r="AA186" s="47"/>
      <c r="AB186" s="84"/>
      <c r="AC186" s="83"/>
      <c r="AD186" s="47" t="str">
        <f>IF(AG185&gt;0.005,"October","")</f>
        <v/>
      </c>
      <c r="AE186" s="80">
        <f t="shared" si="180"/>
        <v>0</v>
      </c>
      <c r="AF186" s="80">
        <f t="shared" si="181"/>
        <v>0</v>
      </c>
      <c r="AG186" s="80">
        <f t="shared" si="182"/>
        <v>0</v>
      </c>
      <c r="AH186" s="47"/>
    </row>
    <row r="187" spans="2:34" x14ac:dyDescent="0.25">
      <c r="B187" s="72">
        <v>143</v>
      </c>
      <c r="C187" s="47" t="str">
        <f>IF(F186&gt;0.005,"November","")</f>
        <v>November</v>
      </c>
      <c r="D187" s="80">
        <f t="shared" si="183"/>
        <v>12956.1</v>
      </c>
      <c r="E187" s="80">
        <f t="shared" si="171"/>
        <v>11687.01692622687</v>
      </c>
      <c r="F187" s="80">
        <f t="shared" si="172"/>
        <v>3780343.4564757883</v>
      </c>
      <c r="G187" s="47"/>
      <c r="I187" s="81">
        <f t="shared" si="173"/>
        <v>10770.132431583055</v>
      </c>
      <c r="J187" s="82">
        <f t="shared" si="174"/>
        <v>4.1000000000000002E-2</v>
      </c>
      <c r="K187" s="81"/>
      <c r="L187" s="81">
        <f t="shared" si="175"/>
        <v>3141571.4513072851</v>
      </c>
      <c r="M187" s="83">
        <f t="shared" si="170"/>
        <v>14531.269941949598</v>
      </c>
      <c r="N187" s="84"/>
      <c r="O187" s="72">
        <v>143</v>
      </c>
      <c r="P187" s="47" t="str">
        <f>IF(S186&gt;0.005,"November","")</f>
        <v/>
      </c>
      <c r="Q187" s="80">
        <f t="shared" si="184"/>
        <v>0</v>
      </c>
      <c r="R187" s="80">
        <f t="shared" si="176"/>
        <v>0</v>
      </c>
      <c r="S187" s="80">
        <f t="shared" si="177"/>
        <v>0</v>
      </c>
      <c r="T187" s="47"/>
      <c r="U187" s="84"/>
      <c r="V187" s="72">
        <v>143</v>
      </c>
      <c r="W187" s="47" t="e">
        <f>IF(Z186&gt;0.005,"November","")</f>
        <v>#NAME?</v>
      </c>
      <c r="X187" s="80" t="e">
        <f t="shared" si="178"/>
        <v>#NAME?</v>
      </c>
      <c r="Y187" s="80"/>
      <c r="Z187" s="80" t="e">
        <f t="shared" si="179"/>
        <v>#NAME?</v>
      </c>
      <c r="AA187" s="47"/>
      <c r="AB187" s="84"/>
      <c r="AC187" s="83"/>
      <c r="AD187" s="47" t="str">
        <f>IF(AG186&gt;0.005,"November","")</f>
        <v/>
      </c>
      <c r="AE187" s="80">
        <f t="shared" si="180"/>
        <v>0</v>
      </c>
      <c r="AF187" s="80">
        <f t="shared" si="181"/>
        <v>0</v>
      </c>
      <c r="AG187" s="80">
        <f t="shared" si="182"/>
        <v>0</v>
      </c>
      <c r="AH187" s="47"/>
    </row>
    <row r="188" spans="2:34" x14ac:dyDescent="0.25">
      <c r="B188" s="72">
        <v>144</v>
      </c>
      <c r="C188" s="47" t="str">
        <f>IF(F187&gt;0.005,"December","")</f>
        <v>December</v>
      </c>
      <c r="D188" s="80">
        <f>IF(F187&gt;0,ROUND(F187*($F$6/12),2),0)</f>
        <v>12916.17</v>
      </c>
      <c r="E188" s="80">
        <f t="shared" si="171"/>
        <v>11726.94692622687</v>
      </c>
      <c r="F188" s="80">
        <f t="shared" si="172"/>
        <v>3768616.5095495614</v>
      </c>
      <c r="G188" s="47"/>
      <c r="I188" s="81">
        <f t="shared" si="173"/>
        <v>10733.702458633225</v>
      </c>
      <c r="J188" s="82">
        <f t="shared" si="174"/>
        <v>4.1000000000000002E-2</v>
      </c>
      <c r="K188" s="81"/>
      <c r="L188" s="81">
        <f t="shared" si="175"/>
        <v>3130945.0858732383</v>
      </c>
      <c r="M188" s="83">
        <f t="shared" si="170"/>
        <v>14548.916528143025</v>
      </c>
      <c r="N188" s="84"/>
      <c r="O188" s="72">
        <v>144</v>
      </c>
      <c r="P188" s="47" t="str">
        <f>IF(S187&gt;0.005,"December","")</f>
        <v/>
      </c>
      <c r="Q188" s="80">
        <f t="shared" si="184"/>
        <v>0</v>
      </c>
      <c r="R188" s="80">
        <f t="shared" si="176"/>
        <v>0</v>
      </c>
      <c r="S188" s="80">
        <f t="shared" si="177"/>
        <v>0</v>
      </c>
      <c r="T188" s="47"/>
      <c r="U188" s="84"/>
      <c r="V188" s="72">
        <v>144</v>
      </c>
      <c r="W188" s="47" t="e">
        <f>IF(Z187&gt;0.005,"December","")</f>
        <v>#NAME?</v>
      </c>
      <c r="X188" s="80" t="e">
        <f t="shared" si="178"/>
        <v>#NAME?</v>
      </c>
      <c r="Y188" s="80"/>
      <c r="Z188" s="80" t="e">
        <f t="shared" si="179"/>
        <v>#NAME?</v>
      </c>
      <c r="AA188" s="47"/>
      <c r="AB188" s="84"/>
      <c r="AC188" s="83"/>
      <c r="AD188" s="47" t="str">
        <f>IF(AG187&gt;0.005,"December","")</f>
        <v/>
      </c>
      <c r="AE188" s="80">
        <f t="shared" si="180"/>
        <v>0</v>
      </c>
      <c r="AF188" s="80">
        <f t="shared" si="181"/>
        <v>0</v>
      </c>
      <c r="AG188" s="80">
        <f t="shared" si="182"/>
        <v>0</v>
      </c>
      <c r="AH188" s="47"/>
    </row>
    <row r="189" spans="2:34" x14ac:dyDescent="0.25">
      <c r="B189" s="46"/>
      <c r="C189" s="85" t="str">
        <f>"Total "&amp;YEAR($C$9)+11</f>
        <v>Total 2030</v>
      </c>
      <c r="D189" s="86">
        <f>SUM(D177:D188)</f>
        <v>157599.82000000004</v>
      </c>
      <c r="E189" s="86">
        <f>SUM(E177:E188)</f>
        <v>138117.58311472245</v>
      </c>
      <c r="F189" s="87"/>
      <c r="G189" s="47"/>
      <c r="I189" s="86">
        <f>SUM(I177:I188)</f>
        <v>131236.21794585857</v>
      </c>
      <c r="J189" s="46"/>
      <c r="K189" s="86">
        <f>SUM(K177:K188)</f>
        <v>0</v>
      </c>
      <c r="L189" s="46"/>
      <c r="M189" s="46"/>
      <c r="O189" s="46"/>
      <c r="P189" s="85" t="str">
        <f>"Total "&amp;YEAR($C$9)+11</f>
        <v>Total 2030</v>
      </c>
      <c r="Q189" s="86">
        <f>SUM(Q177:Q188)</f>
        <v>0</v>
      </c>
      <c r="R189" s="86">
        <f>SUM(R177:R188)</f>
        <v>0</v>
      </c>
      <c r="S189" s="87"/>
      <c r="T189" s="47"/>
      <c r="V189" s="46"/>
      <c r="W189" s="85" t="str">
        <f>"Total "&amp;YEAR($C$9)+11</f>
        <v>Total 2030</v>
      </c>
      <c r="X189" s="86" t="e">
        <f>SUM(X177:X188)</f>
        <v>#NAME?</v>
      </c>
      <c r="Y189" s="86">
        <f>SUM(Y177:Y188)</f>
        <v>0</v>
      </c>
      <c r="Z189" s="87"/>
      <c r="AA189" s="47"/>
      <c r="AC189" s="46"/>
      <c r="AD189" s="85" t="str">
        <f>"Total "&amp;YEAR($C$9)+11</f>
        <v>Total 2030</v>
      </c>
      <c r="AE189" s="86">
        <f>SUM(AE177:AE188)</f>
        <v>0</v>
      </c>
      <c r="AF189" s="86">
        <f>SUM(AF177:AF188)</f>
        <v>0</v>
      </c>
      <c r="AG189" s="87"/>
      <c r="AH189" s="47"/>
    </row>
    <row r="190" spans="2:34" x14ac:dyDescent="0.25">
      <c r="B190" s="46"/>
      <c r="C190" s="47"/>
      <c r="D190" s="80"/>
      <c r="E190" s="80"/>
      <c r="F190" s="80"/>
      <c r="G190" s="47"/>
      <c r="I190" s="46"/>
      <c r="J190" s="46"/>
      <c r="K190" s="46"/>
      <c r="L190" s="46"/>
      <c r="M190" s="46"/>
      <c r="O190" s="46"/>
      <c r="P190" s="47"/>
      <c r="Q190" s="80"/>
      <c r="R190" s="80"/>
      <c r="S190" s="80"/>
      <c r="T190" s="47"/>
      <c r="V190" s="46"/>
      <c r="W190" s="47"/>
      <c r="X190" s="80"/>
      <c r="Y190" s="80"/>
      <c r="Z190" s="80"/>
      <c r="AA190" s="47"/>
      <c r="AC190" s="46"/>
      <c r="AD190" s="47"/>
      <c r="AE190" s="80"/>
      <c r="AF190" s="80"/>
      <c r="AG190" s="80"/>
      <c r="AH190" s="47"/>
    </row>
    <row r="191" spans="2:34" x14ac:dyDescent="0.25">
      <c r="B191" s="46"/>
      <c r="C191" s="47"/>
      <c r="D191" s="75" t="s">
        <v>62</v>
      </c>
      <c r="E191" s="75" t="s">
        <v>63</v>
      </c>
      <c r="F191" s="75" t="s">
        <v>64</v>
      </c>
      <c r="G191" s="47"/>
      <c r="I191" s="46"/>
      <c r="J191" s="46"/>
      <c r="K191" s="46"/>
      <c r="L191" s="46"/>
      <c r="M191" s="46"/>
      <c r="O191" s="46"/>
      <c r="P191" s="47"/>
      <c r="Q191" s="75" t="s">
        <v>62</v>
      </c>
      <c r="R191" s="75" t="s">
        <v>63</v>
      </c>
      <c r="S191" s="75" t="s">
        <v>64</v>
      </c>
      <c r="T191" s="47"/>
      <c r="V191" s="46"/>
      <c r="W191" s="47"/>
      <c r="X191" s="75" t="s">
        <v>62</v>
      </c>
      <c r="Y191" s="75" t="s">
        <v>63</v>
      </c>
      <c r="Z191" s="75" t="s">
        <v>64</v>
      </c>
      <c r="AA191" s="47"/>
      <c r="AC191" s="46"/>
      <c r="AD191" s="47"/>
      <c r="AE191" s="75" t="s">
        <v>62</v>
      </c>
      <c r="AF191" s="75" t="s">
        <v>63</v>
      </c>
      <c r="AG191" s="75" t="s">
        <v>64</v>
      </c>
      <c r="AH191" s="47"/>
    </row>
    <row r="192" spans="2:34" x14ac:dyDescent="0.25">
      <c r="B192" s="72">
        <v>145</v>
      </c>
      <c r="C192" s="47" t="str">
        <f>IF(F188&gt;0.005,"January","")</f>
        <v>January</v>
      </c>
      <c r="D192" s="80">
        <f>IF(F188&gt;0,ROUND(F188*($F$6/12),2),0)</f>
        <v>12876.11</v>
      </c>
      <c r="E192" s="80">
        <f>IF(F188&lt;$D$8,F188,$D$8-D192)</f>
        <v>11767.00692622687</v>
      </c>
      <c r="F192" s="80">
        <f>IF(F188-E192&gt;0,F188-E192,0)</f>
        <v>3756849.5026233345</v>
      </c>
      <c r="G192" s="47"/>
      <c r="I192" s="81">
        <f>L188*J192/12</f>
        <v>106.97395710066898</v>
      </c>
      <c r="J192" s="82">
        <f>$F$6/100</f>
        <v>4.0999999999999999E-4</v>
      </c>
      <c r="K192" s="81"/>
      <c r="L192" s="81">
        <f>MAX(L188+L188*($F$6/100)/12-I192-K192,0)</f>
        <v>3130945.0858732383</v>
      </c>
      <c r="M192" s="83">
        <f t="shared" ref="M192:M203" si="185">-PMT(($F$6/100)/12,$D$7-B192,L192,0,0)</f>
        <v>14616.336520136905</v>
      </c>
      <c r="N192" s="84"/>
      <c r="O192" s="72">
        <v>145</v>
      </c>
      <c r="P192" s="47" t="str">
        <f>IF(S188&gt;0.005,"January","")</f>
        <v/>
      </c>
      <c r="Q192" s="80">
        <f>IF(O192&lt;$S$7,"",IF(O192=$S$7,$Q$6*($S$6/12),S188*($S$6/12)))</f>
        <v>0</v>
      </c>
      <c r="R192" s="80">
        <f>IF(O192&lt;$S$7,"",$Q$8-Q192)</f>
        <v>0</v>
      </c>
      <c r="S192" s="80">
        <f>IF(O192&lt;$S$7,"",IF(O192=$S$7,$Q$6-R192,S188-R192))</f>
        <v>0</v>
      </c>
      <c r="T192" s="47"/>
      <c r="U192" s="84"/>
      <c r="V192" s="72">
        <v>145</v>
      </c>
      <c r="W192" s="47" t="e">
        <f>IF(Z188&gt;0.005,"January","")</f>
        <v>#NAME?</v>
      </c>
      <c r="X192" s="80" t="e">
        <f>IF(V192&lt;$Z$7,"",($Z$6/12)*$X$6)</f>
        <v>#NAME?</v>
      </c>
      <c r="Y192" s="80"/>
      <c r="Z192" s="80" t="e">
        <f>IF(V192&lt;$S$7,"",$X$6)</f>
        <v>#NAME?</v>
      </c>
      <c r="AA192" s="47"/>
      <c r="AB192" s="84"/>
      <c r="AC192" s="83"/>
      <c r="AD192" s="47" t="str">
        <f>IF(AG188&gt;0.005,"January","")</f>
        <v/>
      </c>
      <c r="AE192" s="80">
        <f>IF(AG188&gt;0,ROUND(AG188*($AG$6/1200),2),0)</f>
        <v>0</v>
      </c>
      <c r="AF192" s="80">
        <f>IF(AG188&lt;$AE$8,AG188,$AE$8-AE192)</f>
        <v>0</v>
      </c>
      <c r="AG192" s="80">
        <f>IF(AG188-AF192&gt;0,AG188-AF192,0)</f>
        <v>0</v>
      </c>
      <c r="AH192" s="47"/>
    </row>
    <row r="193" spans="2:34" x14ac:dyDescent="0.25">
      <c r="B193" s="72">
        <v>146</v>
      </c>
      <c r="C193" s="47" t="str">
        <f>IF(F192&gt;0.005,"February","")</f>
        <v>February</v>
      </c>
      <c r="D193" s="80">
        <f>IF(F192&gt;0,ROUND(F192*($F$6/12),2),0)</f>
        <v>12835.9</v>
      </c>
      <c r="E193" s="80">
        <f t="shared" ref="E193:E203" si="186">IF(F192&lt;$D$8,F192,$D$8-D193)</f>
        <v>11807.216926226871</v>
      </c>
      <c r="F193" s="80">
        <f t="shared" ref="F193:F203" si="187">IF(F192-E193&gt;0,F192-E193,0)</f>
        <v>3745042.2856971077</v>
      </c>
      <c r="G193" s="47"/>
      <c r="I193" s="81">
        <f t="shared" ref="I193:I203" si="188">L192*J193/12</f>
        <v>106.97395710066898</v>
      </c>
      <c r="J193" s="82">
        <f t="shared" ref="J193:J203" si="189">$F$6/100</f>
        <v>4.0999999999999999E-4</v>
      </c>
      <c r="K193" s="81"/>
      <c r="L193" s="81">
        <f t="shared" ref="L193:L203" si="190">MAX(L192+L192*($F$6/100)/12-I193-K193,0)</f>
        <v>3130945.0858732383</v>
      </c>
      <c r="M193" s="83">
        <f t="shared" si="185"/>
        <v>14684.386608360368</v>
      </c>
      <c r="N193" s="84"/>
      <c r="O193" s="72">
        <v>146</v>
      </c>
      <c r="P193" s="47" t="str">
        <f>IF(S192&gt;0.005,"February","")</f>
        <v/>
      </c>
      <c r="Q193" s="80">
        <f>IF(O193&lt;$S$7,"",IF(O193=$S$7,$Q$6*($S$6/12),S192*($S$6/12)))</f>
        <v>0</v>
      </c>
      <c r="R193" s="80">
        <f t="shared" ref="R193:R203" si="191">IF(O193&lt;$S$7,"",$Q$8-Q193)</f>
        <v>0</v>
      </c>
      <c r="S193" s="80">
        <f t="shared" ref="S193:S203" si="192">IF(O193&lt;$S$7,"",IF(O193=$S$7,$Q$6-R193,S192-R193))</f>
        <v>0</v>
      </c>
      <c r="T193" s="47"/>
      <c r="U193" s="84"/>
      <c r="V193" s="72">
        <v>146</v>
      </c>
      <c r="W193" s="47" t="e">
        <f>IF(Z192&gt;0.005,"February","")</f>
        <v>#NAME?</v>
      </c>
      <c r="X193" s="80" t="e">
        <f t="shared" ref="X193:X203" si="193">IF(V193&lt;$Z$7,"",($Z$6/12)*$X$6)</f>
        <v>#NAME?</v>
      </c>
      <c r="Y193" s="80"/>
      <c r="Z193" s="80" t="e">
        <f t="shared" ref="Z193:Z203" si="194">IF(V193&lt;$S$7,"",$X$6)</f>
        <v>#NAME?</v>
      </c>
      <c r="AA193" s="47"/>
      <c r="AB193" s="84"/>
      <c r="AC193" s="83"/>
      <c r="AD193" s="47" t="str">
        <f>IF(AG192&gt;0.005,"February","")</f>
        <v/>
      </c>
      <c r="AE193" s="80">
        <f t="shared" ref="AE193:AE203" si="195">IF(AG192&gt;0,ROUND(AG192*($AG$6/1200),2),0)</f>
        <v>0</v>
      </c>
      <c r="AF193" s="80">
        <f t="shared" ref="AF193:AF203" si="196">IF(AG192&lt;$AE$8,AG192,$AE$8-AE193)</f>
        <v>0</v>
      </c>
      <c r="AG193" s="80">
        <f t="shared" ref="AG193:AG203" si="197">IF(AG192-AF193&gt;0,AG192-AF193,0)</f>
        <v>0</v>
      </c>
      <c r="AH193" s="47"/>
    </row>
    <row r="194" spans="2:34" x14ac:dyDescent="0.25">
      <c r="B194" s="72">
        <v>147</v>
      </c>
      <c r="C194" s="47" t="str">
        <f>IF(F193&gt;0.005,"March","")</f>
        <v>March</v>
      </c>
      <c r="D194" s="80">
        <f t="shared" ref="D194:D202" si="198">IF(F193&gt;0,ROUND(F193*($F$6/12),2),0)</f>
        <v>12795.56</v>
      </c>
      <c r="E194" s="80">
        <f t="shared" si="186"/>
        <v>11847.556926226871</v>
      </c>
      <c r="F194" s="80">
        <f t="shared" si="187"/>
        <v>3733194.728770881</v>
      </c>
      <c r="G194" s="47"/>
      <c r="I194" s="81">
        <f t="shared" si="188"/>
        <v>106.97395710066898</v>
      </c>
      <c r="J194" s="82">
        <f t="shared" si="189"/>
        <v>4.0999999999999999E-4</v>
      </c>
      <c r="K194" s="81"/>
      <c r="L194" s="81">
        <f t="shared" si="190"/>
        <v>3130945.0858732383</v>
      </c>
      <c r="M194" s="83">
        <f t="shared" si="185"/>
        <v>14753.0756674082</v>
      </c>
      <c r="N194" s="84"/>
      <c r="O194" s="72">
        <v>147</v>
      </c>
      <c r="P194" s="47" t="str">
        <f>IF(S193&gt;0.005,"March","")</f>
        <v/>
      </c>
      <c r="Q194" s="80">
        <f t="shared" ref="Q194:Q203" si="199">IF(O194&lt;$S$7,"",IF(O194=$S$7,$Q$6*($S$6/12),S193*($S$6/12)))</f>
        <v>0</v>
      </c>
      <c r="R194" s="80">
        <f t="shared" si="191"/>
        <v>0</v>
      </c>
      <c r="S194" s="80">
        <f t="shared" si="192"/>
        <v>0</v>
      </c>
      <c r="T194" s="47"/>
      <c r="U194" s="84"/>
      <c r="V194" s="72">
        <v>147</v>
      </c>
      <c r="W194" s="47" t="e">
        <f>IF(Z193&gt;0.005,"March","")</f>
        <v>#NAME?</v>
      </c>
      <c r="X194" s="80" t="e">
        <f t="shared" si="193"/>
        <v>#NAME?</v>
      </c>
      <c r="Y194" s="80"/>
      <c r="Z194" s="80" t="e">
        <f t="shared" si="194"/>
        <v>#NAME?</v>
      </c>
      <c r="AA194" s="47"/>
      <c r="AB194" s="84"/>
      <c r="AC194" s="83"/>
      <c r="AD194" s="47" t="str">
        <f>IF(AG193&gt;0.005,"March","")</f>
        <v/>
      </c>
      <c r="AE194" s="80">
        <f t="shared" si="195"/>
        <v>0</v>
      </c>
      <c r="AF194" s="80">
        <f t="shared" si="196"/>
        <v>0</v>
      </c>
      <c r="AG194" s="80">
        <f t="shared" si="197"/>
        <v>0</v>
      </c>
      <c r="AH194" s="47"/>
    </row>
    <row r="195" spans="2:34" x14ac:dyDescent="0.25">
      <c r="B195" s="72">
        <v>148</v>
      </c>
      <c r="C195" s="47" t="str">
        <f>IF(F194&gt;0.005,"April","")</f>
        <v>April</v>
      </c>
      <c r="D195" s="80">
        <f t="shared" si="198"/>
        <v>12755.08</v>
      </c>
      <c r="E195" s="80">
        <f t="shared" si="186"/>
        <v>11888.03692622687</v>
      </c>
      <c r="F195" s="80">
        <f t="shared" si="187"/>
        <v>3721306.6918446543</v>
      </c>
      <c r="G195" s="47"/>
      <c r="I195" s="81">
        <f t="shared" si="188"/>
        <v>106.97395710066898</v>
      </c>
      <c r="J195" s="82">
        <f t="shared" si="189"/>
        <v>4.0999999999999999E-4</v>
      </c>
      <c r="K195" s="81"/>
      <c r="L195" s="81">
        <f t="shared" si="190"/>
        <v>3130945.0858732383</v>
      </c>
      <c r="M195" s="83">
        <f t="shared" si="185"/>
        <v>14822.412739320371</v>
      </c>
      <c r="N195" s="84"/>
      <c r="O195" s="72">
        <v>148</v>
      </c>
      <c r="P195" s="47" t="str">
        <f>IF(S194&gt;0.005,"April","")</f>
        <v/>
      </c>
      <c r="Q195" s="80">
        <f t="shared" si="199"/>
        <v>0</v>
      </c>
      <c r="R195" s="80">
        <f t="shared" si="191"/>
        <v>0</v>
      </c>
      <c r="S195" s="80">
        <f t="shared" si="192"/>
        <v>0</v>
      </c>
      <c r="T195" s="47"/>
      <c r="U195" s="84"/>
      <c r="V195" s="72">
        <v>148</v>
      </c>
      <c r="W195" s="47" t="e">
        <f>IF(Z194&gt;0.005,"April","")</f>
        <v>#NAME?</v>
      </c>
      <c r="X195" s="80" t="e">
        <f t="shared" si="193"/>
        <v>#NAME?</v>
      </c>
      <c r="Y195" s="80"/>
      <c r="Z195" s="80" t="e">
        <f t="shared" si="194"/>
        <v>#NAME?</v>
      </c>
      <c r="AA195" s="47"/>
      <c r="AB195" s="84"/>
      <c r="AC195" s="83"/>
      <c r="AD195" s="47" t="str">
        <f>IF(AG194&gt;0.005,"April","")</f>
        <v/>
      </c>
      <c r="AE195" s="80">
        <f t="shared" si="195"/>
        <v>0</v>
      </c>
      <c r="AF195" s="80">
        <f t="shared" si="196"/>
        <v>0</v>
      </c>
      <c r="AG195" s="80">
        <f t="shared" si="197"/>
        <v>0</v>
      </c>
      <c r="AH195" s="47"/>
    </row>
    <row r="196" spans="2:34" x14ac:dyDescent="0.25">
      <c r="B196" s="72">
        <v>149</v>
      </c>
      <c r="C196" s="47" t="str">
        <f>IF(F195&gt;0.005,"May","")</f>
        <v>May</v>
      </c>
      <c r="D196" s="80">
        <f t="shared" si="198"/>
        <v>12714.46</v>
      </c>
      <c r="E196" s="80">
        <f t="shared" si="186"/>
        <v>11928.656926226871</v>
      </c>
      <c r="F196" s="80">
        <f t="shared" si="187"/>
        <v>3709378.0349184275</v>
      </c>
      <c r="G196" s="47"/>
      <c r="I196" s="81">
        <f t="shared" si="188"/>
        <v>106.97395710066898</v>
      </c>
      <c r="J196" s="82">
        <f t="shared" si="189"/>
        <v>4.0999999999999999E-4</v>
      </c>
      <c r="K196" s="81"/>
      <c r="L196" s="81">
        <f t="shared" si="190"/>
        <v>3130945.0858732383</v>
      </c>
      <c r="M196" s="83">
        <f t="shared" si="185"/>
        <v>14892.407037549925</v>
      </c>
      <c r="N196" s="84"/>
      <c r="O196" s="72">
        <v>149</v>
      </c>
      <c r="P196" s="47" t="str">
        <f>IF(S195&gt;0.005,"May","")</f>
        <v/>
      </c>
      <c r="Q196" s="80">
        <f t="shared" si="199"/>
        <v>0</v>
      </c>
      <c r="R196" s="80">
        <f t="shared" si="191"/>
        <v>0</v>
      </c>
      <c r="S196" s="80">
        <f t="shared" si="192"/>
        <v>0</v>
      </c>
      <c r="T196" s="47"/>
      <c r="U196" s="84"/>
      <c r="V196" s="72">
        <v>149</v>
      </c>
      <c r="W196" s="47" t="e">
        <f>IF(Z195&gt;0.005,"May","")</f>
        <v>#NAME?</v>
      </c>
      <c r="X196" s="80" t="e">
        <f t="shared" si="193"/>
        <v>#NAME?</v>
      </c>
      <c r="Y196" s="80"/>
      <c r="Z196" s="80" t="e">
        <f t="shared" si="194"/>
        <v>#NAME?</v>
      </c>
      <c r="AA196" s="47"/>
      <c r="AB196" s="84"/>
      <c r="AC196" s="83"/>
      <c r="AD196" s="47" t="str">
        <f>IF(AG195&gt;0.005,"May","")</f>
        <v/>
      </c>
      <c r="AE196" s="80">
        <f t="shared" si="195"/>
        <v>0</v>
      </c>
      <c r="AF196" s="80">
        <f t="shared" si="196"/>
        <v>0</v>
      </c>
      <c r="AG196" s="80">
        <f t="shared" si="197"/>
        <v>0</v>
      </c>
      <c r="AH196" s="47"/>
    </row>
    <row r="197" spans="2:34" x14ac:dyDescent="0.25">
      <c r="B197" s="72">
        <v>150</v>
      </c>
      <c r="C197" s="47" t="str">
        <f>IF(F196&gt;0.005,"June","")</f>
        <v>June</v>
      </c>
      <c r="D197" s="80">
        <f t="shared" si="198"/>
        <v>12673.71</v>
      </c>
      <c r="E197" s="80">
        <f t="shared" si="186"/>
        <v>11969.406926226871</v>
      </c>
      <c r="F197" s="80">
        <f t="shared" si="187"/>
        <v>3697408.6279922007</v>
      </c>
      <c r="G197" s="47"/>
      <c r="I197" s="81">
        <f t="shared" si="188"/>
        <v>106.97395710066898</v>
      </c>
      <c r="J197" s="82">
        <f t="shared" si="189"/>
        <v>4.0999999999999999E-4</v>
      </c>
      <c r="K197" s="81"/>
      <c r="L197" s="81">
        <f t="shared" si="190"/>
        <v>3130945.0858732383</v>
      </c>
      <c r="M197" s="83">
        <f t="shared" si="185"/>
        <v>14963.067951044251</v>
      </c>
      <c r="N197" s="84"/>
      <c r="O197" s="72">
        <v>150</v>
      </c>
      <c r="P197" s="47" t="str">
        <f>IF(S196&gt;0.005,"June","")</f>
        <v/>
      </c>
      <c r="Q197" s="80">
        <f t="shared" si="199"/>
        <v>0</v>
      </c>
      <c r="R197" s="80">
        <f t="shared" si="191"/>
        <v>0</v>
      </c>
      <c r="S197" s="80">
        <f t="shared" si="192"/>
        <v>0</v>
      </c>
      <c r="T197" s="47"/>
      <c r="U197" s="84"/>
      <c r="V197" s="72">
        <v>150</v>
      </c>
      <c r="W197" s="47" t="e">
        <f>IF(Z196&gt;0.005,"June","")</f>
        <v>#NAME?</v>
      </c>
      <c r="X197" s="80" t="e">
        <f t="shared" si="193"/>
        <v>#NAME?</v>
      </c>
      <c r="Y197" s="80"/>
      <c r="Z197" s="80" t="e">
        <f t="shared" si="194"/>
        <v>#NAME?</v>
      </c>
      <c r="AA197" s="47"/>
      <c r="AB197" s="84"/>
      <c r="AC197" s="83"/>
      <c r="AD197" s="47" t="str">
        <f>IF(AG196&gt;0.005,"June","")</f>
        <v/>
      </c>
      <c r="AE197" s="80">
        <f t="shared" si="195"/>
        <v>0</v>
      </c>
      <c r="AF197" s="80">
        <f t="shared" si="196"/>
        <v>0</v>
      </c>
      <c r="AG197" s="80">
        <f t="shared" si="197"/>
        <v>0</v>
      </c>
      <c r="AH197" s="47"/>
    </row>
    <row r="198" spans="2:34" x14ac:dyDescent="0.25">
      <c r="B198" s="72">
        <v>151</v>
      </c>
      <c r="C198" s="47" t="str">
        <f>IF(F197&gt;0.005,"July","")</f>
        <v>July</v>
      </c>
      <c r="D198" s="80">
        <f t="shared" si="198"/>
        <v>12632.81</v>
      </c>
      <c r="E198" s="80">
        <f t="shared" si="186"/>
        <v>12010.306926226871</v>
      </c>
      <c r="F198" s="80">
        <f t="shared" si="187"/>
        <v>3685398.321065974</v>
      </c>
      <c r="G198" s="47"/>
      <c r="I198" s="81">
        <f t="shared" si="188"/>
        <v>106.97395710066898</v>
      </c>
      <c r="J198" s="82">
        <f t="shared" si="189"/>
        <v>4.0999999999999999E-4</v>
      </c>
      <c r="K198" s="81"/>
      <c r="L198" s="81">
        <f t="shared" si="190"/>
        <v>3130945.0858732383</v>
      </c>
      <c r="M198" s="83">
        <f t="shared" si="185"/>
        <v>15034.405048443517</v>
      </c>
      <c r="N198" s="84"/>
      <c r="O198" s="72">
        <v>151</v>
      </c>
      <c r="P198" s="47" t="str">
        <f>IF(S197&gt;0.005,"July","")</f>
        <v/>
      </c>
      <c r="Q198" s="80">
        <f t="shared" si="199"/>
        <v>0</v>
      </c>
      <c r="R198" s="80">
        <f t="shared" si="191"/>
        <v>0</v>
      </c>
      <c r="S198" s="80">
        <f t="shared" si="192"/>
        <v>0</v>
      </c>
      <c r="T198" s="47"/>
      <c r="U198" s="84"/>
      <c r="V198" s="72">
        <v>151</v>
      </c>
      <c r="W198" s="47" t="e">
        <f>IF(Z197&gt;0.005,"July","")</f>
        <v>#NAME?</v>
      </c>
      <c r="X198" s="80" t="e">
        <f t="shared" si="193"/>
        <v>#NAME?</v>
      </c>
      <c r="Y198" s="80"/>
      <c r="Z198" s="80" t="e">
        <f t="shared" si="194"/>
        <v>#NAME?</v>
      </c>
      <c r="AA198" s="47"/>
      <c r="AB198" s="84"/>
      <c r="AC198" s="83"/>
      <c r="AD198" s="47" t="str">
        <f>IF(AG197&gt;0.005,"July","")</f>
        <v/>
      </c>
      <c r="AE198" s="80">
        <f t="shared" si="195"/>
        <v>0</v>
      </c>
      <c r="AF198" s="80">
        <f t="shared" si="196"/>
        <v>0</v>
      </c>
      <c r="AG198" s="80">
        <f t="shared" si="197"/>
        <v>0</v>
      </c>
      <c r="AH198" s="47"/>
    </row>
    <row r="199" spans="2:34" x14ac:dyDescent="0.25">
      <c r="B199" s="72">
        <v>152</v>
      </c>
      <c r="C199" s="47" t="str">
        <f>IF(F198&gt;0.005,"August","")</f>
        <v>August</v>
      </c>
      <c r="D199" s="80">
        <f t="shared" si="198"/>
        <v>12591.78</v>
      </c>
      <c r="E199" s="80">
        <f t="shared" si="186"/>
        <v>12051.33692622687</v>
      </c>
      <c r="F199" s="80">
        <f t="shared" si="187"/>
        <v>3673346.984139747</v>
      </c>
      <c r="G199" s="47"/>
      <c r="I199" s="81">
        <f t="shared" si="188"/>
        <v>106.97395710066898</v>
      </c>
      <c r="J199" s="82">
        <f t="shared" si="189"/>
        <v>4.0999999999999999E-4</v>
      </c>
      <c r="K199" s="81"/>
      <c r="L199" s="81">
        <f t="shared" si="190"/>
        <v>3130945.0858732383</v>
      </c>
      <c r="M199" s="83">
        <f t="shared" si="185"/>
        <v>15106.4280824002</v>
      </c>
      <c r="N199" s="84"/>
      <c r="O199" s="72">
        <v>152</v>
      </c>
      <c r="P199" s="47" t="str">
        <f>IF(S198&gt;0.005,"August","")</f>
        <v/>
      </c>
      <c r="Q199" s="80">
        <f t="shared" si="199"/>
        <v>0</v>
      </c>
      <c r="R199" s="80">
        <f t="shared" si="191"/>
        <v>0</v>
      </c>
      <c r="S199" s="80">
        <f t="shared" si="192"/>
        <v>0</v>
      </c>
      <c r="T199" s="47"/>
      <c r="U199" s="84"/>
      <c r="V199" s="72">
        <v>152</v>
      </c>
      <c r="W199" s="47" t="e">
        <f>IF(Z198&gt;0.005,"August","")</f>
        <v>#NAME?</v>
      </c>
      <c r="X199" s="80" t="e">
        <f t="shared" si="193"/>
        <v>#NAME?</v>
      </c>
      <c r="Y199" s="80"/>
      <c r="Z199" s="80" t="e">
        <f t="shared" si="194"/>
        <v>#NAME?</v>
      </c>
      <c r="AA199" s="47"/>
      <c r="AB199" s="84"/>
      <c r="AC199" s="83"/>
      <c r="AD199" s="47" t="str">
        <f>IF(AG198&gt;0.005,"August","")</f>
        <v/>
      </c>
      <c r="AE199" s="80">
        <f t="shared" si="195"/>
        <v>0</v>
      </c>
      <c r="AF199" s="80">
        <f t="shared" si="196"/>
        <v>0</v>
      </c>
      <c r="AG199" s="80">
        <f t="shared" si="197"/>
        <v>0</v>
      </c>
      <c r="AH199" s="47"/>
    </row>
    <row r="200" spans="2:34" x14ac:dyDescent="0.25">
      <c r="B200" s="72">
        <v>153</v>
      </c>
      <c r="C200" s="47" t="str">
        <f>IF(F199&gt;0.005,"September","")</f>
        <v>September</v>
      </c>
      <c r="D200" s="80">
        <f t="shared" si="198"/>
        <v>12550.6</v>
      </c>
      <c r="E200" s="80">
        <f t="shared" si="186"/>
        <v>12092.51692622687</v>
      </c>
      <c r="F200" s="80">
        <f t="shared" si="187"/>
        <v>3661254.4672135203</v>
      </c>
      <c r="G200" s="47"/>
      <c r="I200" s="81">
        <f t="shared" si="188"/>
        <v>106.97395710066898</v>
      </c>
      <c r="J200" s="82">
        <f t="shared" si="189"/>
        <v>4.0999999999999999E-4</v>
      </c>
      <c r="K200" s="81"/>
      <c r="L200" s="81">
        <f t="shared" si="190"/>
        <v>3130945.0858732383</v>
      </c>
      <c r="M200" s="83">
        <f t="shared" si="185"/>
        <v>15179.146994023826</v>
      </c>
      <c r="N200" s="84"/>
      <c r="O200" s="72">
        <v>153</v>
      </c>
      <c r="P200" s="47" t="str">
        <f>IF(S199&gt;0.005,"September","")</f>
        <v/>
      </c>
      <c r="Q200" s="80">
        <f t="shared" si="199"/>
        <v>0</v>
      </c>
      <c r="R200" s="80">
        <f t="shared" si="191"/>
        <v>0</v>
      </c>
      <c r="S200" s="80">
        <f t="shared" si="192"/>
        <v>0</v>
      </c>
      <c r="T200" s="47"/>
      <c r="U200" s="84"/>
      <c r="V200" s="72">
        <v>153</v>
      </c>
      <c r="W200" s="47" t="e">
        <f>IF(Z199&gt;0.005,"September","")</f>
        <v>#NAME?</v>
      </c>
      <c r="X200" s="80" t="e">
        <f t="shared" si="193"/>
        <v>#NAME?</v>
      </c>
      <c r="Y200" s="80"/>
      <c r="Z200" s="80" t="e">
        <f t="shared" si="194"/>
        <v>#NAME?</v>
      </c>
      <c r="AA200" s="47"/>
      <c r="AB200" s="84"/>
      <c r="AC200" s="83"/>
      <c r="AD200" s="47" t="str">
        <f>IF(AG199&gt;0.005,"September","")</f>
        <v/>
      </c>
      <c r="AE200" s="80">
        <f t="shared" si="195"/>
        <v>0</v>
      </c>
      <c r="AF200" s="80">
        <f t="shared" si="196"/>
        <v>0</v>
      </c>
      <c r="AG200" s="80">
        <f t="shared" si="197"/>
        <v>0</v>
      </c>
      <c r="AH200" s="47"/>
    </row>
    <row r="201" spans="2:34" x14ac:dyDescent="0.25">
      <c r="B201" s="72">
        <v>154</v>
      </c>
      <c r="C201" s="47" t="str">
        <f>IF(F200&gt;0.005,"October","")</f>
        <v>October</v>
      </c>
      <c r="D201" s="80">
        <f t="shared" si="198"/>
        <v>12509.29</v>
      </c>
      <c r="E201" s="80">
        <f t="shared" si="186"/>
        <v>12133.82692622687</v>
      </c>
      <c r="F201" s="80">
        <f t="shared" si="187"/>
        <v>3649120.6402872936</v>
      </c>
      <c r="G201" s="47"/>
      <c r="I201" s="81">
        <f t="shared" si="188"/>
        <v>106.97395710066898</v>
      </c>
      <c r="J201" s="82">
        <f t="shared" si="189"/>
        <v>4.0999999999999999E-4</v>
      </c>
      <c r="K201" s="81"/>
      <c r="L201" s="81">
        <f t="shared" si="190"/>
        <v>3130945.0858732383</v>
      </c>
      <c r="M201" s="83">
        <f t="shared" si="185"/>
        <v>15252.571917455174</v>
      </c>
      <c r="N201" s="84"/>
      <c r="O201" s="72">
        <v>154</v>
      </c>
      <c r="P201" s="47" t="str">
        <f>IF(S200&gt;0.005,"October","")</f>
        <v/>
      </c>
      <c r="Q201" s="80">
        <f t="shared" si="199"/>
        <v>0</v>
      </c>
      <c r="R201" s="80">
        <f t="shared" si="191"/>
        <v>0</v>
      </c>
      <c r="S201" s="80">
        <f t="shared" si="192"/>
        <v>0</v>
      </c>
      <c r="T201" s="47"/>
      <c r="U201" s="84"/>
      <c r="V201" s="72">
        <v>154</v>
      </c>
      <c r="W201" s="47" t="e">
        <f>IF(Z200&gt;0.005,"October","")</f>
        <v>#NAME?</v>
      </c>
      <c r="X201" s="80" t="e">
        <f t="shared" si="193"/>
        <v>#NAME?</v>
      </c>
      <c r="Y201" s="80"/>
      <c r="Z201" s="80" t="e">
        <f t="shared" si="194"/>
        <v>#NAME?</v>
      </c>
      <c r="AA201" s="47"/>
      <c r="AB201" s="84"/>
      <c r="AC201" s="83"/>
      <c r="AD201" s="47" t="str">
        <f>IF(AG200&gt;0.005,"October","")</f>
        <v/>
      </c>
      <c r="AE201" s="80">
        <f t="shared" si="195"/>
        <v>0</v>
      </c>
      <c r="AF201" s="80">
        <f t="shared" si="196"/>
        <v>0</v>
      </c>
      <c r="AG201" s="80">
        <f t="shared" si="197"/>
        <v>0</v>
      </c>
      <c r="AH201" s="47"/>
    </row>
    <row r="202" spans="2:34" x14ac:dyDescent="0.25">
      <c r="B202" s="72">
        <v>155</v>
      </c>
      <c r="C202" s="47" t="str">
        <f>IF(F201&gt;0.005,"November","")</f>
        <v>November</v>
      </c>
      <c r="D202" s="80">
        <f t="shared" si="198"/>
        <v>12467.83</v>
      </c>
      <c r="E202" s="80">
        <f t="shared" si="186"/>
        <v>12175.28692622687</v>
      </c>
      <c r="F202" s="80">
        <f t="shared" si="187"/>
        <v>3636945.3533610669</v>
      </c>
      <c r="G202" s="47"/>
      <c r="I202" s="81">
        <f t="shared" si="188"/>
        <v>106.97395710066898</v>
      </c>
      <c r="J202" s="82">
        <f t="shared" si="189"/>
        <v>4.0999999999999999E-4</v>
      </c>
      <c r="K202" s="81"/>
      <c r="L202" s="81">
        <f t="shared" si="190"/>
        <v>3130945.0858732383</v>
      </c>
      <c r="M202" s="83">
        <f t="shared" si="185"/>
        <v>15326.713184574357</v>
      </c>
      <c r="N202" s="84"/>
      <c r="O202" s="72">
        <v>155</v>
      </c>
      <c r="P202" s="47" t="str">
        <f>IF(S201&gt;0.005,"November","")</f>
        <v/>
      </c>
      <c r="Q202" s="80">
        <f t="shared" si="199"/>
        <v>0</v>
      </c>
      <c r="R202" s="80">
        <f t="shared" si="191"/>
        <v>0</v>
      </c>
      <c r="S202" s="80">
        <f t="shared" si="192"/>
        <v>0</v>
      </c>
      <c r="T202" s="47"/>
      <c r="U202" s="84"/>
      <c r="V202" s="72">
        <v>155</v>
      </c>
      <c r="W202" s="47" t="e">
        <f>IF(Z201&gt;0.005,"November","")</f>
        <v>#NAME?</v>
      </c>
      <c r="X202" s="80" t="e">
        <f t="shared" si="193"/>
        <v>#NAME?</v>
      </c>
      <c r="Y202" s="80"/>
      <c r="Z202" s="80" t="e">
        <f t="shared" si="194"/>
        <v>#NAME?</v>
      </c>
      <c r="AA202" s="47"/>
      <c r="AB202" s="84"/>
      <c r="AC202" s="83"/>
      <c r="AD202" s="47" t="str">
        <f>IF(AG201&gt;0.005,"November","")</f>
        <v/>
      </c>
      <c r="AE202" s="80">
        <f t="shared" si="195"/>
        <v>0</v>
      </c>
      <c r="AF202" s="80">
        <f t="shared" si="196"/>
        <v>0</v>
      </c>
      <c r="AG202" s="80">
        <f t="shared" si="197"/>
        <v>0</v>
      </c>
      <c r="AH202" s="47"/>
    </row>
    <row r="203" spans="2:34" x14ac:dyDescent="0.25">
      <c r="B203" s="72">
        <v>156</v>
      </c>
      <c r="C203" s="47" t="str">
        <f>IF(F202&gt;0.005,"December","")</f>
        <v>December</v>
      </c>
      <c r="D203" s="80">
        <f>IF(F202&gt;0,ROUND(F202*($F$6/12),2),0)</f>
        <v>12426.23</v>
      </c>
      <c r="E203" s="80">
        <f t="shared" si="186"/>
        <v>12216.886926226871</v>
      </c>
      <c r="F203" s="80">
        <f t="shared" si="187"/>
        <v>3624728.4664348401</v>
      </c>
      <c r="G203" s="47"/>
      <c r="I203" s="81">
        <f t="shared" si="188"/>
        <v>106.97395710066898</v>
      </c>
      <c r="J203" s="82">
        <f t="shared" si="189"/>
        <v>4.0999999999999999E-4</v>
      </c>
      <c r="K203" s="81"/>
      <c r="L203" s="81">
        <f t="shared" si="190"/>
        <v>3130945.0858732383</v>
      </c>
      <c r="M203" s="83">
        <f t="shared" si="185"/>
        <v>15401.581329847379</v>
      </c>
      <c r="N203" s="84"/>
      <c r="O203" s="72">
        <v>156</v>
      </c>
      <c r="P203" s="47" t="str">
        <f>IF(S202&gt;0.005,"December","")</f>
        <v/>
      </c>
      <c r="Q203" s="80">
        <f t="shared" si="199"/>
        <v>0</v>
      </c>
      <c r="R203" s="80">
        <f t="shared" si="191"/>
        <v>0</v>
      </c>
      <c r="S203" s="80">
        <f t="shared" si="192"/>
        <v>0</v>
      </c>
      <c r="T203" s="47"/>
      <c r="U203" s="84"/>
      <c r="V203" s="72">
        <v>156</v>
      </c>
      <c r="W203" s="47" t="e">
        <f>IF(Z202&gt;0.005,"December","")</f>
        <v>#NAME?</v>
      </c>
      <c r="X203" s="80" t="e">
        <f t="shared" si="193"/>
        <v>#NAME?</v>
      </c>
      <c r="Y203" s="80"/>
      <c r="Z203" s="80" t="e">
        <f t="shared" si="194"/>
        <v>#NAME?</v>
      </c>
      <c r="AA203" s="47"/>
      <c r="AB203" s="84"/>
      <c r="AC203" s="83"/>
      <c r="AD203" s="47" t="str">
        <f>IF(AG202&gt;0.005,"December","")</f>
        <v/>
      </c>
      <c r="AE203" s="80">
        <f t="shared" si="195"/>
        <v>0</v>
      </c>
      <c r="AF203" s="80">
        <f t="shared" si="196"/>
        <v>0</v>
      </c>
      <c r="AG203" s="80">
        <f t="shared" si="197"/>
        <v>0</v>
      </c>
      <c r="AH203" s="47"/>
    </row>
    <row r="204" spans="2:34" x14ac:dyDescent="0.25">
      <c r="B204" s="46"/>
      <c r="C204" s="85" t="str">
        <f>"Total "&amp;YEAR($C$9)+12</f>
        <v>Total 2031</v>
      </c>
      <c r="D204" s="86">
        <f>SUM(D192:D203)</f>
        <v>151829.36000000002</v>
      </c>
      <c r="E204" s="86">
        <f>SUM(E192:E203)</f>
        <v>143888.04311472244</v>
      </c>
      <c r="F204" s="87"/>
      <c r="G204" s="47"/>
      <c r="I204" s="86">
        <f>SUM(I192:I203)</f>
        <v>1283.6874852080275</v>
      </c>
      <c r="J204" s="46"/>
      <c r="K204" s="86">
        <f>SUM(K192:K203)</f>
        <v>0</v>
      </c>
      <c r="L204" s="46"/>
      <c r="M204" s="46"/>
      <c r="O204" s="46"/>
      <c r="P204" s="85" t="str">
        <f>"Total "&amp;YEAR($C$9)+12</f>
        <v>Total 2031</v>
      </c>
      <c r="Q204" s="86">
        <f>SUM(Q192:Q203)</f>
        <v>0</v>
      </c>
      <c r="R204" s="86">
        <f>SUM(R192:R203)</f>
        <v>0</v>
      </c>
      <c r="S204" s="87"/>
      <c r="T204" s="47"/>
      <c r="V204" s="46"/>
      <c r="W204" s="85" t="str">
        <f>"Total "&amp;YEAR($C$9)+12</f>
        <v>Total 2031</v>
      </c>
      <c r="X204" s="86" t="e">
        <f>SUM(X192:X203)</f>
        <v>#NAME?</v>
      </c>
      <c r="Y204" s="86">
        <f>SUM(Y192:Y203)</f>
        <v>0</v>
      </c>
      <c r="Z204" s="87"/>
      <c r="AA204" s="47"/>
      <c r="AC204" s="46"/>
      <c r="AD204" s="85" t="str">
        <f>"Total "&amp;YEAR($C$9)+12</f>
        <v>Total 2031</v>
      </c>
      <c r="AE204" s="86">
        <f>SUM(AE192:AE203)</f>
        <v>0</v>
      </c>
      <c r="AF204" s="86">
        <f>SUM(AF192:AF203)</f>
        <v>0</v>
      </c>
      <c r="AG204" s="87"/>
      <c r="AH204" s="47"/>
    </row>
    <row r="205" spans="2:34" x14ac:dyDescent="0.25">
      <c r="B205" s="46"/>
      <c r="C205" s="47"/>
      <c r="D205" s="80"/>
      <c r="E205" s="80"/>
      <c r="F205" s="80"/>
      <c r="G205" s="47"/>
      <c r="I205" s="46"/>
      <c r="J205" s="46"/>
      <c r="K205" s="46"/>
      <c r="L205" s="46"/>
      <c r="M205" s="46"/>
      <c r="O205" s="46"/>
      <c r="P205" s="47"/>
      <c r="Q205" s="80"/>
      <c r="R205" s="80"/>
      <c r="S205" s="80"/>
      <c r="T205" s="47"/>
      <c r="V205" s="46"/>
      <c r="W205" s="47"/>
      <c r="X205" s="80"/>
      <c r="Y205" s="80"/>
      <c r="Z205" s="80"/>
      <c r="AA205" s="47"/>
      <c r="AC205" s="46"/>
      <c r="AD205" s="47"/>
      <c r="AE205" s="80"/>
      <c r="AF205" s="80"/>
      <c r="AG205" s="80"/>
      <c r="AH205" s="47"/>
    </row>
    <row r="206" spans="2:34" x14ac:dyDescent="0.25">
      <c r="B206" s="46"/>
      <c r="C206" s="47"/>
      <c r="D206" s="75" t="s">
        <v>62</v>
      </c>
      <c r="E206" s="75" t="s">
        <v>63</v>
      </c>
      <c r="F206" s="75" t="s">
        <v>64</v>
      </c>
      <c r="G206" s="47"/>
      <c r="I206" s="46"/>
      <c r="J206" s="46"/>
      <c r="K206" s="46"/>
      <c r="L206" s="46"/>
      <c r="M206" s="46"/>
      <c r="O206" s="46"/>
      <c r="P206" s="47"/>
      <c r="Q206" s="75" t="s">
        <v>62</v>
      </c>
      <c r="R206" s="75" t="s">
        <v>63</v>
      </c>
      <c r="S206" s="75" t="s">
        <v>64</v>
      </c>
      <c r="T206" s="47"/>
      <c r="V206" s="46"/>
      <c r="W206" s="47"/>
      <c r="X206" s="75" t="s">
        <v>62</v>
      </c>
      <c r="Y206" s="75" t="s">
        <v>63</v>
      </c>
      <c r="Z206" s="75" t="s">
        <v>64</v>
      </c>
      <c r="AA206" s="47"/>
      <c r="AC206" s="46"/>
      <c r="AD206" s="47"/>
      <c r="AE206" s="75" t="s">
        <v>62</v>
      </c>
      <c r="AF206" s="75" t="s">
        <v>63</v>
      </c>
      <c r="AG206" s="75" t="s">
        <v>64</v>
      </c>
      <c r="AH206" s="47"/>
    </row>
    <row r="207" spans="2:34" x14ac:dyDescent="0.25">
      <c r="B207" s="72">
        <v>157</v>
      </c>
      <c r="C207" s="47" t="str">
        <f>IF(F203&gt;0.005,"January","")</f>
        <v>January</v>
      </c>
      <c r="D207" s="80">
        <f>IF(F203&gt;0,ROUND(F203*($F$6/12),2),0)</f>
        <v>12384.49</v>
      </c>
      <c r="E207" s="80">
        <f>IF(F203&lt;$D$8,F203,$D$8-D207)</f>
        <v>12258.626926226871</v>
      </c>
      <c r="F207" s="80">
        <f>IF(F203-E207&gt;0,F203-E207,0)</f>
        <v>3612469.8395086131</v>
      </c>
      <c r="G207" s="47"/>
      <c r="I207" s="81">
        <f>L203*J207/12</f>
        <v>106.97395710066898</v>
      </c>
      <c r="J207" s="82">
        <f>$F$6/100</f>
        <v>4.0999999999999999E-4</v>
      </c>
      <c r="K207" s="81"/>
      <c r="L207" s="81">
        <f>MAX(L203+L203*($F$6/100)/12-I207-K207,0)</f>
        <v>3130945.0858732383</v>
      </c>
      <c r="M207" s="83">
        <f t="shared" ref="M207:M218" si="200">-PMT(($F$6/100)/12,$D$7-B207,L207,0,0)</f>
        <v>15477.187095315918</v>
      </c>
      <c r="N207" s="84"/>
      <c r="O207" s="72">
        <v>157</v>
      </c>
      <c r="P207" s="47" t="str">
        <f>IF(S203&gt;0.005,"January","")</f>
        <v/>
      </c>
      <c r="Q207" s="80">
        <f>IF(O207&lt;$S$7,"",IF(O207=$S$7,$Q$6*($S$6/12),S203*($S$6/12)))</f>
        <v>0</v>
      </c>
      <c r="R207" s="80">
        <f>IF(O207&lt;$S$7,"",$Q$8-Q207)</f>
        <v>0</v>
      </c>
      <c r="S207" s="80">
        <f>IF(O207&lt;$S$7,"",IF(O207=$S$7,$Q$6-R207,S203-R207))</f>
        <v>0</v>
      </c>
      <c r="T207" s="47"/>
      <c r="U207" s="84"/>
      <c r="V207" s="72">
        <v>157</v>
      </c>
      <c r="W207" s="47" t="e">
        <f>IF(Z203&gt;0.005,"January","")</f>
        <v>#NAME?</v>
      </c>
      <c r="X207" s="80" t="e">
        <f>IF(V207&lt;$Z$7,"",($Z$6/12)*$X$6)</f>
        <v>#NAME?</v>
      </c>
      <c r="Y207" s="80"/>
      <c r="Z207" s="80" t="e">
        <f>IF(V207&lt;$S$7,"",$X$6)</f>
        <v>#NAME?</v>
      </c>
      <c r="AA207" s="47"/>
      <c r="AB207" s="84"/>
      <c r="AC207" s="83"/>
      <c r="AD207" s="47" t="str">
        <f>IF(AG203&gt;0.005,"January","")</f>
        <v/>
      </c>
      <c r="AE207" s="80">
        <f>IF(AG203&gt;0,ROUND(AG203*($AG$6/1200),2),0)</f>
        <v>0</v>
      </c>
      <c r="AF207" s="80">
        <f>IF(AG203&lt;$AE$8,AG203,$AE$8-AE207)</f>
        <v>0</v>
      </c>
      <c r="AG207" s="80">
        <f>IF(AG203-AF207&gt;0,AG203-AF207,0)</f>
        <v>0</v>
      </c>
      <c r="AH207" s="47"/>
    </row>
    <row r="208" spans="2:34" x14ac:dyDescent="0.25">
      <c r="B208" s="72">
        <v>158</v>
      </c>
      <c r="C208" s="47" t="str">
        <f>IF(F207&gt;0.005,"February","")</f>
        <v>February</v>
      </c>
      <c r="D208" s="80">
        <f>IF(F207&gt;0,ROUND(F207*($F$6/12),2),0)</f>
        <v>12342.61</v>
      </c>
      <c r="E208" s="80">
        <f t="shared" ref="E208:E218" si="201">IF(F207&lt;$D$8,F207,$D$8-D208)</f>
        <v>12300.50692622687</v>
      </c>
      <c r="F208" s="80">
        <f t="shared" ref="F208:F218" si="202">IF(F207-E208&gt;0,F207-E208,0)</f>
        <v>3600169.3325823862</v>
      </c>
      <c r="G208" s="47"/>
      <c r="I208" s="81">
        <f t="shared" ref="I208:I218" si="203">L207*J208/12</f>
        <v>106.97395710066898</v>
      </c>
      <c r="J208" s="82">
        <f t="shared" ref="J208:J218" si="204">$F$6/100</f>
        <v>4.0999999999999999E-4</v>
      </c>
      <c r="K208" s="81"/>
      <c r="L208" s="81">
        <f t="shared" ref="L208:L218" si="205">MAX(L207+L207*($F$6/100)/12-I208-K208,0)</f>
        <v>3130945.0858732383</v>
      </c>
      <c r="M208" s="83">
        <f t="shared" si="200"/>
        <v>15553.541435735347</v>
      </c>
      <c r="N208" s="84"/>
      <c r="O208" s="72">
        <v>158</v>
      </c>
      <c r="P208" s="47" t="str">
        <f>IF(S207&gt;0.005,"February","")</f>
        <v/>
      </c>
      <c r="Q208" s="80">
        <f>IF(O208&lt;$S$7,"",IF(O208=$S$7,$Q$6*($S$6/12),S207*($S$6/12)))</f>
        <v>0</v>
      </c>
      <c r="R208" s="80">
        <f t="shared" ref="R208:R218" si="206">IF(O208&lt;$S$7,"",$Q$8-Q208)</f>
        <v>0</v>
      </c>
      <c r="S208" s="80">
        <f t="shared" ref="S208:S218" si="207">IF(O208&lt;$S$7,"",IF(O208=$S$7,$Q$6-R208,S207-R208))</f>
        <v>0</v>
      </c>
      <c r="T208" s="47"/>
      <c r="U208" s="84"/>
      <c r="V208" s="72">
        <v>158</v>
      </c>
      <c r="W208" s="47" t="e">
        <f>IF(Z207&gt;0.005,"February","")</f>
        <v>#NAME?</v>
      </c>
      <c r="X208" s="80" t="e">
        <f t="shared" ref="X208:X218" si="208">IF(V208&lt;$Z$7,"",($Z$6/12)*$X$6)</f>
        <v>#NAME?</v>
      </c>
      <c r="Y208" s="80"/>
      <c r="Z208" s="80" t="e">
        <f t="shared" ref="Z208:Z218" si="209">IF(V208&lt;$S$7,"",$X$6)</f>
        <v>#NAME?</v>
      </c>
      <c r="AA208" s="47"/>
      <c r="AB208" s="84"/>
      <c r="AC208" s="83"/>
      <c r="AD208" s="47" t="str">
        <f>IF(AG207&gt;0.005,"February","")</f>
        <v/>
      </c>
      <c r="AE208" s="80">
        <f t="shared" ref="AE208:AE218" si="210">IF(AG207&gt;0,ROUND(AG207*($AG$6/1200),2),0)</f>
        <v>0</v>
      </c>
      <c r="AF208" s="80">
        <f t="shared" ref="AF208:AF218" si="211">IF(AG207&lt;$AE$8,AG207,$AE$8-AE208)</f>
        <v>0</v>
      </c>
      <c r="AG208" s="80">
        <f t="shared" ref="AG208:AG218" si="212">IF(AG207-AF208&gt;0,AG207-AF208,0)</f>
        <v>0</v>
      </c>
      <c r="AH208" s="47"/>
    </row>
    <row r="209" spans="2:34" x14ac:dyDescent="0.25">
      <c r="B209" s="72">
        <v>159</v>
      </c>
      <c r="C209" s="47" t="str">
        <f>IF(F208&gt;0.005,"March","")</f>
        <v>March</v>
      </c>
      <c r="D209" s="80">
        <f t="shared" ref="D209:D217" si="213">IF(F208&gt;0,ROUND(F208*($F$6/12),2),0)</f>
        <v>12300.58</v>
      </c>
      <c r="E209" s="80">
        <f t="shared" si="201"/>
        <v>12342.53692622687</v>
      </c>
      <c r="F209" s="80">
        <f t="shared" si="202"/>
        <v>3587826.7956561595</v>
      </c>
      <c r="G209" s="47"/>
      <c r="I209" s="81">
        <f t="shared" si="203"/>
        <v>106.97395710066898</v>
      </c>
      <c r="J209" s="82">
        <f t="shared" si="204"/>
        <v>4.0999999999999999E-4</v>
      </c>
      <c r="K209" s="81"/>
      <c r="L209" s="81">
        <f t="shared" si="205"/>
        <v>3130945.0858732383</v>
      </c>
      <c r="M209" s="83">
        <f t="shared" si="200"/>
        <v>15630.655523866135</v>
      </c>
      <c r="N209" s="84"/>
      <c r="O209" s="72">
        <v>159</v>
      </c>
      <c r="P209" s="47" t="str">
        <f>IF(S208&gt;0.005,"March","")</f>
        <v/>
      </c>
      <c r="Q209" s="80">
        <f t="shared" ref="Q209:Q218" si="214">IF(O209&lt;$S$7,"",IF(O209=$S$7,$Q$6*($S$6/12),S208*($S$6/12)))</f>
        <v>0</v>
      </c>
      <c r="R209" s="80">
        <f t="shared" si="206"/>
        <v>0</v>
      </c>
      <c r="S209" s="80">
        <f t="shared" si="207"/>
        <v>0</v>
      </c>
      <c r="T209" s="47"/>
      <c r="U209" s="84"/>
      <c r="V209" s="72">
        <v>159</v>
      </c>
      <c r="W209" s="47" t="e">
        <f>IF(Z208&gt;0.005,"March","")</f>
        <v>#NAME?</v>
      </c>
      <c r="X209" s="80" t="e">
        <f t="shared" si="208"/>
        <v>#NAME?</v>
      </c>
      <c r="Y209" s="80"/>
      <c r="Z209" s="80" t="e">
        <f t="shared" si="209"/>
        <v>#NAME?</v>
      </c>
      <c r="AA209" s="47"/>
      <c r="AB209" s="84"/>
      <c r="AC209" s="83"/>
      <c r="AD209" s="47" t="str">
        <f>IF(AG208&gt;0.005,"March","")</f>
        <v/>
      </c>
      <c r="AE209" s="80">
        <f t="shared" si="210"/>
        <v>0</v>
      </c>
      <c r="AF209" s="80">
        <f t="shared" si="211"/>
        <v>0</v>
      </c>
      <c r="AG209" s="80">
        <f t="shared" si="212"/>
        <v>0</v>
      </c>
      <c r="AH209" s="47"/>
    </row>
    <row r="210" spans="2:34" x14ac:dyDescent="0.25">
      <c r="B210" s="72">
        <v>160</v>
      </c>
      <c r="C210" s="47" t="str">
        <f>IF(F209&gt;0.005,"April","")</f>
        <v>April</v>
      </c>
      <c r="D210" s="80">
        <f t="shared" si="213"/>
        <v>12258.41</v>
      </c>
      <c r="E210" s="80">
        <f t="shared" si="201"/>
        <v>12384.706926226871</v>
      </c>
      <c r="F210" s="80">
        <f t="shared" si="202"/>
        <v>3575442.0887299324</v>
      </c>
      <c r="G210" s="47"/>
      <c r="I210" s="81">
        <f t="shared" si="203"/>
        <v>106.97395710066898</v>
      </c>
      <c r="J210" s="82">
        <f t="shared" si="204"/>
        <v>4.0999999999999999E-4</v>
      </c>
      <c r="K210" s="81"/>
      <c r="L210" s="81">
        <f t="shared" si="205"/>
        <v>3130945.0858732383</v>
      </c>
      <c r="M210" s="83">
        <f t="shared" si="200"/>
        <v>15708.540755923956</v>
      </c>
      <c r="N210" s="84"/>
      <c r="O210" s="72">
        <v>160</v>
      </c>
      <c r="P210" s="47" t="str">
        <f>IF(S209&gt;0.005,"April","")</f>
        <v/>
      </c>
      <c r="Q210" s="80">
        <f t="shared" si="214"/>
        <v>0</v>
      </c>
      <c r="R210" s="80">
        <f t="shared" si="206"/>
        <v>0</v>
      </c>
      <c r="S210" s="80">
        <f t="shared" si="207"/>
        <v>0</v>
      </c>
      <c r="T210" s="47"/>
      <c r="U210" s="84"/>
      <c r="V210" s="72">
        <v>160</v>
      </c>
      <c r="W210" s="47" t="e">
        <f>IF(Z209&gt;0.005,"April","")</f>
        <v>#NAME?</v>
      </c>
      <c r="X210" s="80" t="e">
        <f t="shared" si="208"/>
        <v>#NAME?</v>
      </c>
      <c r="Y210" s="80"/>
      <c r="Z210" s="80" t="e">
        <f t="shared" si="209"/>
        <v>#NAME?</v>
      </c>
      <c r="AA210" s="47"/>
      <c r="AB210" s="84"/>
      <c r="AC210" s="83"/>
      <c r="AD210" s="47" t="str">
        <f>IF(AG209&gt;0.005,"April","")</f>
        <v/>
      </c>
      <c r="AE210" s="80">
        <f t="shared" si="210"/>
        <v>0</v>
      </c>
      <c r="AF210" s="80">
        <f t="shared" si="211"/>
        <v>0</v>
      </c>
      <c r="AG210" s="80">
        <f t="shared" si="212"/>
        <v>0</v>
      </c>
      <c r="AH210" s="47"/>
    </row>
    <row r="211" spans="2:34" x14ac:dyDescent="0.25">
      <c r="B211" s="72">
        <v>161</v>
      </c>
      <c r="C211" s="47" t="str">
        <f>IF(F210&gt;0.005,"May","")</f>
        <v>May</v>
      </c>
      <c r="D211" s="80">
        <f t="shared" si="213"/>
        <v>12216.09</v>
      </c>
      <c r="E211" s="80">
        <f t="shared" si="201"/>
        <v>12427.02692622687</v>
      </c>
      <c r="F211" s="80">
        <f t="shared" si="202"/>
        <v>3563015.0618037055</v>
      </c>
      <c r="G211" s="47"/>
      <c r="I211" s="81">
        <f t="shared" si="203"/>
        <v>106.97395710066898</v>
      </c>
      <c r="J211" s="82">
        <f t="shared" si="204"/>
        <v>4.0999999999999999E-4</v>
      </c>
      <c r="K211" s="81"/>
      <c r="L211" s="81">
        <f t="shared" si="205"/>
        <v>3130945.0858732383</v>
      </c>
      <c r="M211" s="83">
        <f t="shared" si="200"/>
        <v>15787.208757194132</v>
      </c>
      <c r="N211" s="84"/>
      <c r="O211" s="72">
        <v>161</v>
      </c>
      <c r="P211" s="47" t="str">
        <f>IF(S210&gt;0.005,"May","")</f>
        <v/>
      </c>
      <c r="Q211" s="80">
        <f t="shared" si="214"/>
        <v>0</v>
      </c>
      <c r="R211" s="80">
        <f t="shared" si="206"/>
        <v>0</v>
      </c>
      <c r="S211" s="80">
        <f t="shared" si="207"/>
        <v>0</v>
      </c>
      <c r="T211" s="47"/>
      <c r="U211" s="84"/>
      <c r="V211" s="72">
        <v>161</v>
      </c>
      <c r="W211" s="47" t="e">
        <f>IF(Z210&gt;0.005,"May","")</f>
        <v>#NAME?</v>
      </c>
      <c r="X211" s="80" t="e">
        <f t="shared" si="208"/>
        <v>#NAME?</v>
      </c>
      <c r="Y211" s="80"/>
      <c r="Z211" s="80" t="e">
        <f t="shared" si="209"/>
        <v>#NAME?</v>
      </c>
      <c r="AA211" s="47"/>
      <c r="AB211" s="84"/>
      <c r="AC211" s="83"/>
      <c r="AD211" s="47" t="str">
        <f>IF(AG210&gt;0.005,"May","")</f>
        <v/>
      </c>
      <c r="AE211" s="80">
        <f t="shared" si="210"/>
        <v>0</v>
      </c>
      <c r="AF211" s="80">
        <f t="shared" si="211"/>
        <v>0</v>
      </c>
      <c r="AG211" s="80">
        <f t="shared" si="212"/>
        <v>0</v>
      </c>
      <c r="AH211" s="47"/>
    </row>
    <row r="212" spans="2:34" x14ac:dyDescent="0.25">
      <c r="B212" s="72">
        <v>162</v>
      </c>
      <c r="C212" s="47" t="str">
        <f>IF(F211&gt;0.005,"June","")</f>
        <v>June</v>
      </c>
      <c r="D212" s="80">
        <f t="shared" si="213"/>
        <v>12173.63</v>
      </c>
      <c r="E212" s="80">
        <f t="shared" si="201"/>
        <v>12469.486926226871</v>
      </c>
      <c r="F212" s="80">
        <f t="shared" si="202"/>
        <v>3550545.5748774786</v>
      </c>
      <c r="G212" s="47"/>
      <c r="I212" s="81">
        <f t="shared" si="203"/>
        <v>106.97395710066898</v>
      </c>
      <c r="J212" s="82">
        <f t="shared" si="204"/>
        <v>4.0999999999999999E-4</v>
      </c>
      <c r="K212" s="81"/>
      <c r="L212" s="81">
        <f t="shared" si="205"/>
        <v>3130945.0858732383</v>
      </c>
      <c r="M212" s="83">
        <f t="shared" si="200"/>
        <v>15866.671387816252</v>
      </c>
      <c r="N212" s="84"/>
      <c r="O212" s="72">
        <v>162</v>
      </c>
      <c r="P212" s="47" t="str">
        <f>IF(S211&gt;0.005,"June","")</f>
        <v/>
      </c>
      <c r="Q212" s="80">
        <f t="shared" si="214"/>
        <v>0</v>
      </c>
      <c r="R212" s="80">
        <f t="shared" si="206"/>
        <v>0</v>
      </c>
      <c r="S212" s="80">
        <f t="shared" si="207"/>
        <v>0</v>
      </c>
      <c r="T212" s="47"/>
      <c r="U212" s="84"/>
      <c r="V212" s="72">
        <v>162</v>
      </c>
      <c r="W212" s="47" t="e">
        <f>IF(Z211&gt;0.005,"June","")</f>
        <v>#NAME?</v>
      </c>
      <c r="X212" s="80" t="e">
        <f t="shared" si="208"/>
        <v>#NAME?</v>
      </c>
      <c r="Y212" s="80"/>
      <c r="Z212" s="80" t="e">
        <f t="shared" si="209"/>
        <v>#NAME?</v>
      </c>
      <c r="AA212" s="47"/>
      <c r="AB212" s="84"/>
      <c r="AC212" s="83"/>
      <c r="AD212" s="47" t="str">
        <f>IF(AG211&gt;0.005,"June","")</f>
        <v/>
      </c>
      <c r="AE212" s="80">
        <f t="shared" si="210"/>
        <v>0</v>
      </c>
      <c r="AF212" s="80">
        <f t="shared" si="211"/>
        <v>0</v>
      </c>
      <c r="AG212" s="80">
        <f t="shared" si="212"/>
        <v>0</v>
      </c>
      <c r="AH212" s="47"/>
    </row>
    <row r="213" spans="2:34" x14ac:dyDescent="0.25">
      <c r="B213" s="72">
        <v>163</v>
      </c>
      <c r="C213" s="47" t="str">
        <f>IF(F212&gt;0.005,"July","")</f>
        <v>July</v>
      </c>
      <c r="D213" s="80">
        <f t="shared" si="213"/>
        <v>12131.03</v>
      </c>
      <c r="E213" s="80">
        <f t="shared" si="201"/>
        <v>12512.08692622687</v>
      </c>
      <c r="F213" s="80">
        <f t="shared" si="202"/>
        <v>3538033.4879512517</v>
      </c>
      <c r="G213" s="47"/>
      <c r="I213" s="81">
        <f t="shared" si="203"/>
        <v>106.97395710066898</v>
      </c>
      <c r="J213" s="82">
        <f t="shared" si="204"/>
        <v>4.0999999999999999E-4</v>
      </c>
      <c r="K213" s="81"/>
      <c r="L213" s="81">
        <f t="shared" si="205"/>
        <v>3130945.0858732383</v>
      </c>
      <c r="M213" s="83">
        <f t="shared" si="200"/>
        <v>15946.94074874491</v>
      </c>
      <c r="N213" s="84"/>
      <c r="O213" s="72">
        <v>163</v>
      </c>
      <c r="P213" s="47" t="str">
        <f>IF(S212&gt;0.005,"July","")</f>
        <v/>
      </c>
      <c r="Q213" s="80">
        <f t="shared" si="214"/>
        <v>0</v>
      </c>
      <c r="R213" s="80">
        <f t="shared" si="206"/>
        <v>0</v>
      </c>
      <c r="S213" s="80">
        <f t="shared" si="207"/>
        <v>0</v>
      </c>
      <c r="T213" s="47"/>
      <c r="U213" s="84"/>
      <c r="V213" s="72">
        <v>163</v>
      </c>
      <c r="W213" s="47" t="e">
        <f>IF(Z212&gt;0.005,"July","")</f>
        <v>#NAME?</v>
      </c>
      <c r="X213" s="80" t="e">
        <f t="shared" si="208"/>
        <v>#NAME?</v>
      </c>
      <c r="Y213" s="80"/>
      <c r="Z213" s="80" t="e">
        <f t="shared" si="209"/>
        <v>#NAME?</v>
      </c>
      <c r="AA213" s="47"/>
      <c r="AB213" s="84"/>
      <c r="AC213" s="83"/>
      <c r="AD213" s="47" t="str">
        <f>IF(AG212&gt;0.005,"July","")</f>
        <v/>
      </c>
      <c r="AE213" s="80">
        <f t="shared" si="210"/>
        <v>0</v>
      </c>
      <c r="AF213" s="80">
        <f t="shared" si="211"/>
        <v>0</v>
      </c>
      <c r="AG213" s="80">
        <f t="shared" si="212"/>
        <v>0</v>
      </c>
      <c r="AH213" s="47"/>
    </row>
    <row r="214" spans="2:34" x14ac:dyDescent="0.25">
      <c r="B214" s="72">
        <v>164</v>
      </c>
      <c r="C214" s="47" t="str">
        <f>IF(F213&gt;0.005,"August","")</f>
        <v>August</v>
      </c>
      <c r="D214" s="80">
        <f t="shared" si="213"/>
        <v>12088.28</v>
      </c>
      <c r="E214" s="80">
        <f t="shared" si="201"/>
        <v>12554.83692622687</v>
      </c>
      <c r="F214" s="80">
        <f t="shared" si="202"/>
        <v>3525478.6510250247</v>
      </c>
      <c r="G214" s="47"/>
      <c r="I214" s="81">
        <f t="shared" si="203"/>
        <v>106.97395710066898</v>
      </c>
      <c r="J214" s="82">
        <f t="shared" si="204"/>
        <v>4.0999999999999999E-4</v>
      </c>
      <c r="K214" s="81"/>
      <c r="L214" s="81">
        <f t="shared" si="205"/>
        <v>3130945.0858732383</v>
      </c>
      <c r="M214" s="83">
        <f t="shared" si="200"/>
        <v>16028.029187892962</v>
      </c>
      <c r="N214" s="84"/>
      <c r="O214" s="72">
        <v>164</v>
      </c>
      <c r="P214" s="47" t="str">
        <f>IF(S213&gt;0.005,"August","")</f>
        <v/>
      </c>
      <c r="Q214" s="80">
        <f t="shared" si="214"/>
        <v>0</v>
      </c>
      <c r="R214" s="80">
        <f t="shared" si="206"/>
        <v>0</v>
      </c>
      <c r="S214" s="80">
        <f t="shared" si="207"/>
        <v>0</v>
      </c>
      <c r="T214" s="47"/>
      <c r="U214" s="84"/>
      <c r="V214" s="72">
        <v>164</v>
      </c>
      <c r="W214" s="47" t="e">
        <f>IF(Z213&gt;0.005,"August","")</f>
        <v>#NAME?</v>
      </c>
      <c r="X214" s="80" t="e">
        <f t="shared" si="208"/>
        <v>#NAME?</v>
      </c>
      <c r="Y214" s="80"/>
      <c r="Z214" s="80" t="e">
        <f t="shared" si="209"/>
        <v>#NAME?</v>
      </c>
      <c r="AA214" s="47"/>
      <c r="AB214" s="84"/>
      <c r="AC214" s="83"/>
      <c r="AD214" s="47" t="str">
        <f>IF(AG213&gt;0.005,"August","")</f>
        <v/>
      </c>
      <c r="AE214" s="80">
        <f t="shared" si="210"/>
        <v>0</v>
      </c>
      <c r="AF214" s="80">
        <f t="shared" si="211"/>
        <v>0</v>
      </c>
      <c r="AG214" s="80">
        <f t="shared" si="212"/>
        <v>0</v>
      </c>
      <c r="AH214" s="47"/>
    </row>
    <row r="215" spans="2:34" x14ac:dyDescent="0.25">
      <c r="B215" s="72">
        <v>165</v>
      </c>
      <c r="C215" s="47" t="str">
        <f>IF(F214&gt;0.005,"September","")</f>
        <v>September</v>
      </c>
      <c r="D215" s="80">
        <f t="shared" si="213"/>
        <v>12045.39</v>
      </c>
      <c r="E215" s="80">
        <f t="shared" si="201"/>
        <v>12597.726926226871</v>
      </c>
      <c r="F215" s="80">
        <f t="shared" si="202"/>
        <v>3512880.9240987976</v>
      </c>
      <c r="G215" s="47"/>
      <c r="I215" s="81">
        <f t="shared" si="203"/>
        <v>106.97395710066898</v>
      </c>
      <c r="J215" s="82">
        <f t="shared" si="204"/>
        <v>4.0999999999999999E-4</v>
      </c>
      <c r="K215" s="81"/>
      <c r="L215" s="81">
        <f t="shared" si="205"/>
        <v>3130945.0858732383</v>
      </c>
      <c r="M215" s="83">
        <f t="shared" si="200"/>
        <v>16109.94930646379</v>
      </c>
      <c r="N215" s="84"/>
      <c r="O215" s="72">
        <v>165</v>
      </c>
      <c r="P215" s="47" t="str">
        <f>IF(S214&gt;0.005,"September","")</f>
        <v/>
      </c>
      <c r="Q215" s="80">
        <f t="shared" si="214"/>
        <v>0</v>
      </c>
      <c r="R215" s="80">
        <f t="shared" si="206"/>
        <v>0</v>
      </c>
      <c r="S215" s="80">
        <f t="shared" si="207"/>
        <v>0</v>
      </c>
      <c r="T215" s="47"/>
      <c r="U215" s="84"/>
      <c r="V215" s="72">
        <v>165</v>
      </c>
      <c r="W215" s="47" t="e">
        <f>IF(Z214&gt;0.005,"September","")</f>
        <v>#NAME?</v>
      </c>
      <c r="X215" s="80" t="e">
        <f t="shared" si="208"/>
        <v>#NAME?</v>
      </c>
      <c r="Y215" s="80"/>
      <c r="Z215" s="80" t="e">
        <f t="shared" si="209"/>
        <v>#NAME?</v>
      </c>
      <c r="AA215" s="47"/>
      <c r="AB215" s="84"/>
      <c r="AC215" s="83"/>
      <c r="AD215" s="47" t="str">
        <f>IF(AG214&gt;0.005,"September","")</f>
        <v/>
      </c>
      <c r="AE215" s="80">
        <f t="shared" si="210"/>
        <v>0</v>
      </c>
      <c r="AF215" s="80">
        <f t="shared" si="211"/>
        <v>0</v>
      </c>
      <c r="AG215" s="80">
        <f t="shared" si="212"/>
        <v>0</v>
      </c>
      <c r="AH215" s="47"/>
    </row>
    <row r="216" spans="2:34" x14ac:dyDescent="0.25">
      <c r="B216" s="72">
        <v>166</v>
      </c>
      <c r="C216" s="47" t="str">
        <f>IF(F215&gt;0.005,"October","")</f>
        <v>October</v>
      </c>
      <c r="D216" s="80">
        <f t="shared" si="213"/>
        <v>12002.34</v>
      </c>
      <c r="E216" s="80">
        <f t="shared" si="201"/>
        <v>12640.77692622687</v>
      </c>
      <c r="F216" s="80">
        <f t="shared" si="202"/>
        <v>3500240.1471725707</v>
      </c>
      <c r="G216" s="47"/>
      <c r="I216" s="81">
        <f t="shared" si="203"/>
        <v>106.97395710066898</v>
      </c>
      <c r="J216" s="82">
        <f t="shared" si="204"/>
        <v>4.0999999999999999E-4</v>
      </c>
      <c r="K216" s="81"/>
      <c r="L216" s="81">
        <f t="shared" si="205"/>
        <v>3130945.0858732383</v>
      </c>
      <c r="M216" s="83">
        <f t="shared" si="200"/>
        <v>16192.713965479383</v>
      </c>
      <c r="N216" s="84"/>
      <c r="O216" s="72">
        <v>166</v>
      </c>
      <c r="P216" s="47" t="str">
        <f>IF(S215&gt;0.005,"October","")</f>
        <v/>
      </c>
      <c r="Q216" s="80">
        <f t="shared" si="214"/>
        <v>0</v>
      </c>
      <c r="R216" s="80">
        <f t="shared" si="206"/>
        <v>0</v>
      </c>
      <c r="S216" s="80">
        <f t="shared" si="207"/>
        <v>0</v>
      </c>
      <c r="T216" s="47"/>
      <c r="U216" s="84"/>
      <c r="V216" s="72">
        <v>166</v>
      </c>
      <c r="W216" s="47" t="e">
        <f>IF(Z215&gt;0.005,"October","")</f>
        <v>#NAME?</v>
      </c>
      <c r="X216" s="80" t="e">
        <f t="shared" si="208"/>
        <v>#NAME?</v>
      </c>
      <c r="Y216" s="80"/>
      <c r="Z216" s="80" t="e">
        <f t="shared" si="209"/>
        <v>#NAME?</v>
      </c>
      <c r="AA216" s="47"/>
      <c r="AB216" s="84"/>
      <c r="AC216" s="83"/>
      <c r="AD216" s="47" t="str">
        <f>IF(AG215&gt;0.005,"October","")</f>
        <v/>
      </c>
      <c r="AE216" s="80">
        <f t="shared" si="210"/>
        <v>0</v>
      </c>
      <c r="AF216" s="80">
        <f t="shared" si="211"/>
        <v>0</v>
      </c>
      <c r="AG216" s="80">
        <f t="shared" si="212"/>
        <v>0</v>
      </c>
      <c r="AH216" s="47"/>
    </row>
    <row r="217" spans="2:34" x14ac:dyDescent="0.25">
      <c r="B217" s="72">
        <v>167</v>
      </c>
      <c r="C217" s="47" t="str">
        <f>IF(F216&gt;0.005,"November","")</f>
        <v>November</v>
      </c>
      <c r="D217" s="80">
        <f t="shared" si="213"/>
        <v>11959.15</v>
      </c>
      <c r="E217" s="80">
        <f t="shared" si="201"/>
        <v>12683.966926226871</v>
      </c>
      <c r="F217" s="80">
        <f t="shared" si="202"/>
        <v>3487556.1802463438</v>
      </c>
      <c r="G217" s="47"/>
      <c r="I217" s="81">
        <f t="shared" si="203"/>
        <v>106.97395710066898</v>
      </c>
      <c r="J217" s="82">
        <f t="shared" si="204"/>
        <v>4.0999999999999999E-4</v>
      </c>
      <c r="K217" s="81"/>
      <c r="L217" s="81">
        <f t="shared" si="205"/>
        <v>3130945.0858732383</v>
      </c>
      <c r="M217" s="83">
        <f t="shared" si="200"/>
        <v>16276.336292511431</v>
      </c>
      <c r="N217" s="84"/>
      <c r="O217" s="72">
        <v>167</v>
      </c>
      <c r="P217" s="47" t="str">
        <f>IF(S216&gt;0.005,"November","")</f>
        <v/>
      </c>
      <c r="Q217" s="80">
        <f t="shared" si="214"/>
        <v>0</v>
      </c>
      <c r="R217" s="80">
        <f t="shared" si="206"/>
        <v>0</v>
      </c>
      <c r="S217" s="80">
        <f t="shared" si="207"/>
        <v>0</v>
      </c>
      <c r="T217" s="47"/>
      <c r="U217" s="84"/>
      <c r="V217" s="72">
        <v>167</v>
      </c>
      <c r="W217" s="47" t="e">
        <f>IF(Z216&gt;0.005,"November","")</f>
        <v>#NAME?</v>
      </c>
      <c r="X217" s="80" t="e">
        <f t="shared" si="208"/>
        <v>#NAME?</v>
      </c>
      <c r="Y217" s="80"/>
      <c r="Z217" s="80" t="e">
        <f t="shared" si="209"/>
        <v>#NAME?</v>
      </c>
      <c r="AA217" s="47"/>
      <c r="AB217" s="84"/>
      <c r="AC217" s="83"/>
      <c r="AD217" s="47" t="str">
        <f>IF(AG216&gt;0.005,"November","")</f>
        <v/>
      </c>
      <c r="AE217" s="80">
        <f t="shared" si="210"/>
        <v>0</v>
      </c>
      <c r="AF217" s="80">
        <f t="shared" si="211"/>
        <v>0</v>
      </c>
      <c r="AG217" s="80">
        <f t="shared" si="212"/>
        <v>0</v>
      </c>
      <c r="AH217" s="47"/>
    </row>
    <row r="218" spans="2:34" x14ac:dyDescent="0.25">
      <c r="B218" s="72">
        <v>168</v>
      </c>
      <c r="C218" s="47" t="str">
        <f>IF(F217&gt;0.005,"December","")</f>
        <v>December</v>
      </c>
      <c r="D218" s="80">
        <f>IF(F217&gt;0,ROUND(F217*($F$6/12),2),0)</f>
        <v>11915.82</v>
      </c>
      <c r="E218" s="80">
        <f t="shared" si="201"/>
        <v>12727.296926226871</v>
      </c>
      <c r="F218" s="80">
        <f t="shared" si="202"/>
        <v>3474828.8833201169</v>
      </c>
      <c r="G218" s="47"/>
      <c r="I218" s="81">
        <f t="shared" si="203"/>
        <v>106.97395710066898</v>
      </c>
      <c r="J218" s="82">
        <f t="shared" si="204"/>
        <v>4.0999999999999999E-4</v>
      </c>
      <c r="K218" s="81"/>
      <c r="L218" s="81">
        <f t="shared" si="205"/>
        <v>3130945.0858732383</v>
      </c>
      <c r="M218" s="83">
        <f t="shared" si="200"/>
        <v>16360.829688622689</v>
      </c>
      <c r="N218" s="84"/>
      <c r="O218" s="72">
        <v>168</v>
      </c>
      <c r="P218" s="47" t="str">
        <f>IF(S217&gt;0.005,"December","")</f>
        <v/>
      </c>
      <c r="Q218" s="80">
        <f t="shared" si="214"/>
        <v>0</v>
      </c>
      <c r="R218" s="80">
        <f t="shared" si="206"/>
        <v>0</v>
      </c>
      <c r="S218" s="80">
        <f t="shared" si="207"/>
        <v>0</v>
      </c>
      <c r="T218" s="47"/>
      <c r="U218" s="84"/>
      <c r="V218" s="72">
        <v>168</v>
      </c>
      <c r="W218" s="47" t="e">
        <f>IF(Z217&gt;0.005,"December","")</f>
        <v>#NAME?</v>
      </c>
      <c r="X218" s="80" t="e">
        <f t="shared" si="208"/>
        <v>#NAME?</v>
      </c>
      <c r="Y218" s="80"/>
      <c r="Z218" s="80" t="e">
        <f t="shared" si="209"/>
        <v>#NAME?</v>
      </c>
      <c r="AA218" s="47"/>
      <c r="AB218" s="84"/>
      <c r="AC218" s="83"/>
      <c r="AD218" s="47" t="str">
        <f>IF(AG217&gt;0.005,"December","")</f>
        <v/>
      </c>
      <c r="AE218" s="80">
        <f t="shared" si="210"/>
        <v>0</v>
      </c>
      <c r="AF218" s="80">
        <f t="shared" si="211"/>
        <v>0</v>
      </c>
      <c r="AG218" s="80">
        <f t="shared" si="212"/>
        <v>0</v>
      </c>
      <c r="AH218" s="47"/>
    </row>
    <row r="219" spans="2:34" x14ac:dyDescent="0.25">
      <c r="B219" s="46"/>
      <c r="C219" s="85" t="str">
        <f>"Total "&amp;YEAR($C$9)+13</f>
        <v>Total 2032</v>
      </c>
      <c r="D219" s="86">
        <f>SUM(D207:D218)</f>
        <v>145817.82</v>
      </c>
      <c r="E219" s="86">
        <f>SUM(E207:E218)</f>
        <v>149899.58311472245</v>
      </c>
      <c r="F219" s="87"/>
      <c r="G219" s="47"/>
      <c r="I219" s="86">
        <f>SUM(I207:I218)</f>
        <v>1283.6874852080275</v>
      </c>
      <c r="J219" s="46"/>
      <c r="K219" s="86">
        <f>SUM(K207:K218)</f>
        <v>0</v>
      </c>
      <c r="L219" s="46"/>
      <c r="M219" s="46"/>
      <c r="O219" s="46"/>
      <c r="P219" s="85" t="str">
        <f>"Total "&amp;YEAR($C$9)+13</f>
        <v>Total 2032</v>
      </c>
      <c r="Q219" s="86">
        <f>SUM(Q207:Q218)</f>
        <v>0</v>
      </c>
      <c r="R219" s="86">
        <f>SUM(R207:R218)</f>
        <v>0</v>
      </c>
      <c r="S219" s="87"/>
      <c r="T219" s="47"/>
      <c r="V219" s="46"/>
      <c r="W219" s="85" t="str">
        <f>"Total "&amp;YEAR($C$9)+13</f>
        <v>Total 2032</v>
      </c>
      <c r="X219" s="86" t="e">
        <f>SUM(X207:X218)</f>
        <v>#NAME?</v>
      </c>
      <c r="Y219" s="86">
        <f>SUM(Y207:Y218)</f>
        <v>0</v>
      </c>
      <c r="Z219" s="87"/>
      <c r="AA219" s="47"/>
      <c r="AC219" s="46"/>
      <c r="AD219" s="85" t="str">
        <f>"Total "&amp;YEAR($C$9)+13</f>
        <v>Total 2032</v>
      </c>
      <c r="AE219" s="86">
        <f>SUM(AE207:AE218)</f>
        <v>0</v>
      </c>
      <c r="AF219" s="86">
        <f>SUM(AF207:AF218)</f>
        <v>0</v>
      </c>
      <c r="AG219" s="87"/>
      <c r="AH219" s="47"/>
    </row>
    <row r="220" spans="2:34" x14ac:dyDescent="0.25">
      <c r="B220" s="46"/>
      <c r="C220" s="50"/>
      <c r="D220" s="88"/>
      <c r="E220" s="88"/>
      <c r="F220" s="80"/>
      <c r="G220" s="47"/>
      <c r="I220" s="46"/>
      <c r="J220" s="46"/>
      <c r="K220" s="46"/>
      <c r="L220" s="46"/>
      <c r="M220" s="46"/>
      <c r="O220" s="46"/>
      <c r="P220" s="50"/>
      <c r="Q220" s="88"/>
      <c r="R220" s="88"/>
      <c r="S220" s="80"/>
      <c r="T220" s="47"/>
      <c r="V220" s="46"/>
      <c r="W220" s="50"/>
      <c r="X220" s="88"/>
      <c r="Y220" s="88"/>
      <c r="Z220" s="80"/>
      <c r="AA220" s="47"/>
      <c r="AC220" s="46"/>
      <c r="AD220" s="50"/>
      <c r="AE220" s="88"/>
      <c r="AF220" s="88"/>
      <c r="AG220" s="80"/>
      <c r="AH220" s="47"/>
    </row>
    <row r="221" spans="2:34" x14ac:dyDescent="0.25">
      <c r="B221" s="46"/>
      <c r="C221" s="47"/>
      <c r="D221" s="75" t="s">
        <v>62</v>
      </c>
      <c r="E221" s="75" t="s">
        <v>63</v>
      </c>
      <c r="F221" s="75" t="s">
        <v>64</v>
      </c>
      <c r="G221" s="47"/>
      <c r="I221" s="46"/>
      <c r="J221" s="46"/>
      <c r="K221" s="46"/>
      <c r="L221" s="46"/>
      <c r="M221" s="46"/>
      <c r="O221" s="46"/>
      <c r="P221" s="47"/>
      <c r="Q221" s="75" t="s">
        <v>62</v>
      </c>
      <c r="R221" s="75" t="s">
        <v>63</v>
      </c>
      <c r="S221" s="75" t="s">
        <v>64</v>
      </c>
      <c r="T221" s="47"/>
      <c r="V221" s="46"/>
      <c r="W221" s="47"/>
      <c r="X221" s="75" t="s">
        <v>62</v>
      </c>
      <c r="Y221" s="75" t="s">
        <v>63</v>
      </c>
      <c r="Z221" s="75" t="s">
        <v>64</v>
      </c>
      <c r="AA221" s="47"/>
      <c r="AC221" s="46"/>
      <c r="AD221" s="47"/>
      <c r="AE221" s="75" t="s">
        <v>62</v>
      </c>
      <c r="AF221" s="75" t="s">
        <v>63</v>
      </c>
      <c r="AG221" s="75" t="s">
        <v>64</v>
      </c>
      <c r="AH221" s="47"/>
    </row>
    <row r="222" spans="2:34" x14ac:dyDescent="0.25">
      <c r="B222" s="72">
        <v>169</v>
      </c>
      <c r="C222" s="47" t="str">
        <f>IF(F218&gt;0.005,"January","")</f>
        <v>January</v>
      </c>
      <c r="D222" s="80">
        <f>IF(F218&gt;0,ROUND(F218*($F$6/12),2),0)</f>
        <v>11872.33</v>
      </c>
      <c r="E222" s="80">
        <f>IF(F218&lt;$D$8,F218,$D$8-D222)</f>
        <v>12770.78692622687</v>
      </c>
      <c r="F222" s="80">
        <f>IF(F218-E222&gt;0,F218-E222,0)</f>
        <v>3462058.0963938902</v>
      </c>
      <c r="G222" s="47"/>
      <c r="I222" s="81">
        <f>L218*J222/12</f>
        <v>106.97395710066898</v>
      </c>
      <c r="J222" s="82">
        <f>$F$6/100</f>
        <v>4.0999999999999999E-4</v>
      </c>
      <c r="K222" s="81"/>
      <c r="L222" s="81">
        <f>MAX(L218+L218*($F$6/100)/12-I222-K222,0)</f>
        <v>3130945.0858732383</v>
      </c>
      <c r="M222" s="83">
        <f t="shared" ref="M222:M233" si="215">-PMT(($F$6/100)/12,$D$7-B222,L222,0,0)</f>
        <v>16446.207835526446</v>
      </c>
      <c r="N222" s="84"/>
      <c r="O222" s="72">
        <v>169</v>
      </c>
      <c r="P222" s="47" t="str">
        <f>IF(S218&gt;0.005,"January","")</f>
        <v/>
      </c>
      <c r="Q222" s="80">
        <f>IF(O222&lt;$S$7,"",IF(O222=$S$7,$Q$6*($S$6/12),S218*($S$6/12)))</f>
        <v>0</v>
      </c>
      <c r="R222" s="80">
        <f>IF(O222&lt;$S$7,"",$Q$8-Q222)</f>
        <v>0</v>
      </c>
      <c r="S222" s="80">
        <f>IF(O222&lt;$S$7,"",IF(O222=$S$7,$Q$6-R222,S218-R222))</f>
        <v>0</v>
      </c>
      <c r="T222" s="47"/>
      <c r="U222" s="84"/>
      <c r="V222" s="72">
        <v>169</v>
      </c>
      <c r="W222" s="47" t="e">
        <f>IF(Z218&gt;0.005,"January","")</f>
        <v>#NAME?</v>
      </c>
      <c r="X222" s="80" t="e">
        <f>IF(V222&lt;$Z$7,"",($Z$6/12)*$X$6)</f>
        <v>#NAME?</v>
      </c>
      <c r="Y222" s="80"/>
      <c r="Z222" s="80" t="e">
        <f>IF(V222&lt;$S$7,"",$X$6)</f>
        <v>#NAME?</v>
      </c>
      <c r="AA222" s="47"/>
      <c r="AB222" s="84"/>
      <c r="AC222" s="83"/>
      <c r="AD222" s="47" t="str">
        <f>IF(AG218&gt;0.005,"January","")</f>
        <v/>
      </c>
      <c r="AE222" s="80">
        <f>IF(AG218&gt;0,ROUND(AG218*($AG$6/1200),2),0)</f>
        <v>0</v>
      </c>
      <c r="AF222" s="80">
        <f>IF(AG218&lt;$AE$8,AG218,$AE$8-AE222)</f>
        <v>0</v>
      </c>
      <c r="AG222" s="80">
        <f>IF(AG218-AF222&gt;0,AG218-AF222,0)</f>
        <v>0</v>
      </c>
      <c r="AH222" s="47"/>
    </row>
    <row r="223" spans="2:34" x14ac:dyDescent="0.25">
      <c r="B223" s="72">
        <v>170</v>
      </c>
      <c r="C223" s="47" t="str">
        <f>IF(F222&gt;0.005,"February","")</f>
        <v>February</v>
      </c>
      <c r="D223" s="80">
        <f>IF(F222&gt;0,ROUND(F222*($F$6/12),2),0)</f>
        <v>11828.7</v>
      </c>
      <c r="E223" s="80">
        <f t="shared" ref="E223:E233" si="216">IF(F222&lt;$D$8,F222,$D$8-D223)</f>
        <v>12814.41692622687</v>
      </c>
      <c r="F223" s="80">
        <f t="shared" ref="F223:F233" si="217">IF(F222-E223&gt;0,F222-E223,0)</f>
        <v>3449243.6794676632</v>
      </c>
      <c r="G223" s="47"/>
      <c r="I223" s="81">
        <f t="shared" ref="I223:I233" si="218">L222*J223/12</f>
        <v>106.97395710066898</v>
      </c>
      <c r="J223" s="82">
        <f t="shared" ref="J223:J233" si="219">$F$6/100</f>
        <v>4.0999999999999999E-4</v>
      </c>
      <c r="K223" s="81"/>
      <c r="L223" s="81">
        <f t="shared" ref="L223:L233" si="220">MAX(L222+L222*($F$6/100)/12-I223-K223,0)</f>
        <v>3130945.0858732383</v>
      </c>
      <c r="M223" s="83">
        <f t="shared" si="215"/>
        <v>16532.484702972051</v>
      </c>
      <c r="N223" s="84"/>
      <c r="O223" s="72">
        <v>170</v>
      </c>
      <c r="P223" s="47" t="str">
        <f>IF(S222&gt;0.005,"February","")</f>
        <v/>
      </c>
      <c r="Q223" s="80">
        <f>IF(O223&lt;$S$7,"",IF(O223=$S$7,$Q$6*($S$6/12),S222*($S$6/12)))</f>
        <v>0</v>
      </c>
      <c r="R223" s="80">
        <f t="shared" ref="R223:R233" si="221">IF(O223&lt;$S$7,"",$Q$8-Q223)</f>
        <v>0</v>
      </c>
      <c r="S223" s="80">
        <f t="shared" ref="S223:S233" si="222">IF(O223&lt;$S$7,"",IF(O223=$S$7,$Q$6-R223,S222-R223))</f>
        <v>0</v>
      </c>
      <c r="T223" s="47"/>
      <c r="U223" s="84"/>
      <c r="V223" s="72">
        <v>170</v>
      </c>
      <c r="W223" s="47" t="e">
        <f>IF(Z222&gt;0.005,"February","")</f>
        <v>#NAME?</v>
      </c>
      <c r="X223" s="80" t="e">
        <f t="shared" ref="X223:X233" si="223">IF(V223&lt;$Z$7,"",($Z$6/12)*$X$6)</f>
        <v>#NAME?</v>
      </c>
      <c r="Y223" s="80"/>
      <c r="Z223" s="80" t="e">
        <f t="shared" ref="Z223:Z233" si="224">IF(V223&lt;$S$7,"",$X$6)</f>
        <v>#NAME?</v>
      </c>
      <c r="AA223" s="47"/>
      <c r="AB223" s="84"/>
      <c r="AC223" s="83"/>
      <c r="AD223" s="47" t="str">
        <f>IF(AG222&gt;0.005,"February","")</f>
        <v/>
      </c>
      <c r="AE223" s="80">
        <f t="shared" ref="AE223:AE233" si="225">IF(AG222&gt;0,ROUND(AG222*($AG$6/1200),2),0)</f>
        <v>0</v>
      </c>
      <c r="AF223" s="80">
        <f t="shared" ref="AF223:AF233" si="226">IF(AG222&lt;$AE$8,AG222,$AE$8-AE223)</f>
        <v>0</v>
      </c>
      <c r="AG223" s="80">
        <f t="shared" ref="AG223:AG233" si="227">IF(AG222-AF223&gt;0,AG222-AF223,0)</f>
        <v>0</v>
      </c>
      <c r="AH223" s="47"/>
    </row>
    <row r="224" spans="2:34" x14ac:dyDescent="0.25">
      <c r="B224" s="72">
        <v>171</v>
      </c>
      <c r="C224" s="47" t="str">
        <f>IF(F223&gt;0.005,"March","")</f>
        <v>March</v>
      </c>
      <c r="D224" s="80">
        <f t="shared" ref="D224:D232" si="228">IF(F223&gt;0,ROUND(F223*($F$6/12),2),0)</f>
        <v>11784.92</v>
      </c>
      <c r="E224" s="80">
        <f t="shared" si="216"/>
        <v>12858.19692622687</v>
      </c>
      <c r="F224" s="80">
        <f t="shared" si="217"/>
        <v>3436385.4825414363</v>
      </c>
      <c r="G224" s="47"/>
      <c r="I224" s="81">
        <f t="shared" si="218"/>
        <v>106.97395710066898</v>
      </c>
      <c r="J224" s="82">
        <f t="shared" si="219"/>
        <v>4.0999999999999999E-4</v>
      </c>
      <c r="K224" s="81"/>
      <c r="L224" s="81">
        <f t="shared" si="220"/>
        <v>3130945.0858732383</v>
      </c>
      <c r="M224" s="83">
        <f t="shared" si="215"/>
        <v>16619.674556364935</v>
      </c>
      <c r="N224" s="84"/>
      <c r="O224" s="72">
        <v>171</v>
      </c>
      <c r="P224" s="47" t="str">
        <f>IF(S223&gt;0.005,"March","")</f>
        <v/>
      </c>
      <c r="Q224" s="80">
        <f t="shared" ref="Q224:Q233" si="229">IF(O224&lt;$S$7,"",IF(O224=$S$7,$Q$6*($S$6/12),S223*($S$6/12)))</f>
        <v>0</v>
      </c>
      <c r="R224" s="80">
        <f t="shared" si="221"/>
        <v>0</v>
      </c>
      <c r="S224" s="80">
        <f t="shared" si="222"/>
        <v>0</v>
      </c>
      <c r="T224" s="47"/>
      <c r="U224" s="84"/>
      <c r="V224" s="72">
        <v>171</v>
      </c>
      <c r="W224" s="47" t="e">
        <f>IF(Z223&gt;0.005,"March","")</f>
        <v>#NAME?</v>
      </c>
      <c r="X224" s="80" t="e">
        <f t="shared" si="223"/>
        <v>#NAME?</v>
      </c>
      <c r="Y224" s="80"/>
      <c r="Z224" s="80" t="e">
        <f t="shared" si="224"/>
        <v>#NAME?</v>
      </c>
      <c r="AA224" s="47"/>
      <c r="AB224" s="84"/>
      <c r="AC224" s="83"/>
      <c r="AD224" s="47" t="str">
        <f>IF(AG223&gt;0.005,"March","")</f>
        <v/>
      </c>
      <c r="AE224" s="80">
        <f t="shared" si="225"/>
        <v>0</v>
      </c>
      <c r="AF224" s="80">
        <f t="shared" si="226"/>
        <v>0</v>
      </c>
      <c r="AG224" s="80">
        <f t="shared" si="227"/>
        <v>0</v>
      </c>
      <c r="AH224" s="47"/>
    </row>
    <row r="225" spans="2:34" x14ac:dyDescent="0.25">
      <c r="B225" s="72">
        <v>172</v>
      </c>
      <c r="C225" s="47" t="str">
        <f>IF(F224&gt;0.005,"April","")</f>
        <v>April</v>
      </c>
      <c r="D225" s="80">
        <f t="shared" si="228"/>
        <v>11740.98</v>
      </c>
      <c r="E225" s="80">
        <f t="shared" si="216"/>
        <v>12902.136926226871</v>
      </c>
      <c r="F225" s="80">
        <f t="shared" si="217"/>
        <v>3423483.3456152095</v>
      </c>
      <c r="G225" s="47"/>
      <c r="I225" s="81">
        <f t="shared" si="218"/>
        <v>106.97395710066898</v>
      </c>
      <c r="J225" s="82">
        <f t="shared" si="219"/>
        <v>4.0999999999999999E-4</v>
      </c>
      <c r="K225" s="81"/>
      <c r="L225" s="81">
        <f t="shared" si="220"/>
        <v>3130945.0858732383</v>
      </c>
      <c r="M225" s="83">
        <f t="shared" si="215"/>
        <v>16707.791964629789</v>
      </c>
      <c r="N225" s="84"/>
      <c r="O225" s="72">
        <v>172</v>
      </c>
      <c r="P225" s="47" t="str">
        <f>IF(S224&gt;0.005,"April","")</f>
        <v/>
      </c>
      <c r="Q225" s="80">
        <f t="shared" si="229"/>
        <v>0</v>
      </c>
      <c r="R225" s="80">
        <f t="shared" si="221"/>
        <v>0</v>
      </c>
      <c r="S225" s="80">
        <f t="shared" si="222"/>
        <v>0</v>
      </c>
      <c r="T225" s="47"/>
      <c r="U225" s="84"/>
      <c r="V225" s="72">
        <v>172</v>
      </c>
      <c r="W225" s="47" t="e">
        <f>IF(Z224&gt;0.005,"April","")</f>
        <v>#NAME?</v>
      </c>
      <c r="X225" s="80" t="e">
        <f t="shared" si="223"/>
        <v>#NAME?</v>
      </c>
      <c r="Y225" s="80"/>
      <c r="Z225" s="80" t="e">
        <f t="shared" si="224"/>
        <v>#NAME?</v>
      </c>
      <c r="AA225" s="47"/>
      <c r="AB225" s="84"/>
      <c r="AC225" s="83"/>
      <c r="AD225" s="47" t="str">
        <f>IF(AG224&gt;0.005,"April","")</f>
        <v/>
      </c>
      <c r="AE225" s="80">
        <f t="shared" si="225"/>
        <v>0</v>
      </c>
      <c r="AF225" s="80">
        <f t="shared" si="226"/>
        <v>0</v>
      </c>
      <c r="AG225" s="80">
        <f t="shared" si="227"/>
        <v>0</v>
      </c>
      <c r="AH225" s="47"/>
    </row>
    <row r="226" spans="2:34" x14ac:dyDescent="0.25">
      <c r="B226" s="72">
        <v>173</v>
      </c>
      <c r="C226" s="47" t="str">
        <f>IF(F225&gt;0.005,"May","")</f>
        <v>May</v>
      </c>
      <c r="D226" s="80">
        <f t="shared" si="228"/>
        <v>11696.9</v>
      </c>
      <c r="E226" s="80">
        <f t="shared" si="216"/>
        <v>12946.216926226871</v>
      </c>
      <c r="F226" s="80">
        <f t="shared" si="217"/>
        <v>3410537.1286889827</v>
      </c>
      <c r="G226" s="47"/>
      <c r="I226" s="81">
        <f t="shared" si="218"/>
        <v>106.97395710066898</v>
      </c>
      <c r="J226" s="82">
        <f t="shared" si="219"/>
        <v>4.0999999999999999E-4</v>
      </c>
      <c r="K226" s="81"/>
      <c r="L226" s="81">
        <f t="shared" si="220"/>
        <v>3130945.0858732383</v>
      </c>
      <c r="M226" s="83">
        <f t="shared" si="215"/>
        <v>16796.85180832605</v>
      </c>
      <c r="N226" s="84"/>
      <c r="O226" s="72">
        <v>173</v>
      </c>
      <c r="P226" s="47" t="str">
        <f>IF(S225&gt;0.005,"May","")</f>
        <v/>
      </c>
      <c r="Q226" s="80">
        <f t="shared" si="229"/>
        <v>0</v>
      </c>
      <c r="R226" s="80">
        <f t="shared" si="221"/>
        <v>0</v>
      </c>
      <c r="S226" s="80">
        <f t="shared" si="222"/>
        <v>0</v>
      </c>
      <c r="T226" s="47"/>
      <c r="U226" s="84"/>
      <c r="V226" s="72">
        <v>173</v>
      </c>
      <c r="W226" s="47" t="e">
        <f>IF(Z225&gt;0.005,"May","")</f>
        <v>#NAME?</v>
      </c>
      <c r="X226" s="80" t="e">
        <f t="shared" si="223"/>
        <v>#NAME?</v>
      </c>
      <c r="Y226" s="80"/>
      <c r="Z226" s="80" t="e">
        <f t="shared" si="224"/>
        <v>#NAME?</v>
      </c>
      <c r="AA226" s="47"/>
      <c r="AB226" s="84"/>
      <c r="AC226" s="83"/>
      <c r="AD226" s="47" t="str">
        <f>IF(AG225&gt;0.005,"May","")</f>
        <v/>
      </c>
      <c r="AE226" s="80">
        <f t="shared" si="225"/>
        <v>0</v>
      </c>
      <c r="AF226" s="80">
        <f t="shared" si="226"/>
        <v>0</v>
      </c>
      <c r="AG226" s="80">
        <f t="shared" si="227"/>
        <v>0</v>
      </c>
      <c r="AH226" s="47"/>
    </row>
    <row r="227" spans="2:34" x14ac:dyDescent="0.25">
      <c r="B227" s="72">
        <v>174</v>
      </c>
      <c r="C227" s="47" t="str">
        <f>IF(F226&gt;0.005,"June","")</f>
        <v>June</v>
      </c>
      <c r="D227" s="80">
        <f t="shared" si="228"/>
        <v>11652.67</v>
      </c>
      <c r="E227" s="80">
        <f t="shared" si="216"/>
        <v>12990.44692622687</v>
      </c>
      <c r="F227" s="80">
        <f t="shared" si="217"/>
        <v>3397546.6817627558</v>
      </c>
      <c r="G227" s="47"/>
      <c r="I227" s="81">
        <f t="shared" si="218"/>
        <v>106.97395710066898</v>
      </c>
      <c r="J227" s="82">
        <f t="shared" si="219"/>
        <v>4.0999999999999999E-4</v>
      </c>
      <c r="K227" s="81"/>
      <c r="L227" s="81">
        <f t="shared" si="220"/>
        <v>3130945.0858732383</v>
      </c>
      <c r="M227" s="83">
        <f t="shared" si="215"/>
        <v>16886.869288025202</v>
      </c>
      <c r="N227" s="84"/>
      <c r="O227" s="72">
        <v>174</v>
      </c>
      <c r="P227" s="47" t="str">
        <f>IF(S226&gt;0.005,"June","")</f>
        <v/>
      </c>
      <c r="Q227" s="80">
        <f t="shared" si="229"/>
        <v>0</v>
      </c>
      <c r="R227" s="80">
        <f t="shared" si="221"/>
        <v>0</v>
      </c>
      <c r="S227" s="80">
        <f t="shared" si="222"/>
        <v>0</v>
      </c>
      <c r="T227" s="47"/>
      <c r="U227" s="84"/>
      <c r="V227" s="72">
        <v>174</v>
      </c>
      <c r="W227" s="47" t="e">
        <f>IF(Z226&gt;0.005,"June","")</f>
        <v>#NAME?</v>
      </c>
      <c r="X227" s="80" t="e">
        <f t="shared" si="223"/>
        <v>#NAME?</v>
      </c>
      <c r="Y227" s="80"/>
      <c r="Z227" s="80" t="e">
        <f t="shared" si="224"/>
        <v>#NAME?</v>
      </c>
      <c r="AA227" s="47"/>
      <c r="AB227" s="84"/>
      <c r="AC227" s="83"/>
      <c r="AD227" s="47" t="str">
        <f>IF(AG226&gt;0.005,"June","")</f>
        <v/>
      </c>
      <c r="AE227" s="80">
        <f t="shared" si="225"/>
        <v>0</v>
      </c>
      <c r="AF227" s="80">
        <f t="shared" si="226"/>
        <v>0</v>
      </c>
      <c r="AG227" s="80">
        <f t="shared" si="227"/>
        <v>0</v>
      </c>
      <c r="AH227" s="47"/>
    </row>
    <row r="228" spans="2:34" x14ac:dyDescent="0.25">
      <c r="B228" s="72">
        <v>175</v>
      </c>
      <c r="C228" s="47" t="str">
        <f>IF(F227&gt;0.005,"July","")</f>
        <v>July</v>
      </c>
      <c r="D228" s="80">
        <f t="shared" si="228"/>
        <v>11608.28</v>
      </c>
      <c r="E228" s="80">
        <f t="shared" si="216"/>
        <v>13034.83692622687</v>
      </c>
      <c r="F228" s="80">
        <f t="shared" si="217"/>
        <v>3384511.8448365289</v>
      </c>
      <c r="G228" s="47"/>
      <c r="I228" s="81">
        <f t="shared" si="218"/>
        <v>106.97395710066898</v>
      </c>
      <c r="J228" s="82">
        <f t="shared" si="219"/>
        <v>4.0999999999999999E-4</v>
      </c>
      <c r="K228" s="81"/>
      <c r="L228" s="81">
        <f t="shared" si="220"/>
        <v>3130945.0858732383</v>
      </c>
      <c r="M228" s="83">
        <f t="shared" si="215"/>
        <v>16977.859932959716</v>
      </c>
      <c r="N228" s="84"/>
      <c r="O228" s="72">
        <v>175</v>
      </c>
      <c r="P228" s="47" t="str">
        <f>IF(S227&gt;0.005,"July","")</f>
        <v/>
      </c>
      <c r="Q228" s="80">
        <f t="shared" si="229"/>
        <v>0</v>
      </c>
      <c r="R228" s="80">
        <f t="shared" si="221"/>
        <v>0</v>
      </c>
      <c r="S228" s="80">
        <f t="shared" si="222"/>
        <v>0</v>
      </c>
      <c r="T228" s="47"/>
      <c r="U228" s="84"/>
      <c r="V228" s="72">
        <v>175</v>
      </c>
      <c r="W228" s="47" t="e">
        <f>IF(Z227&gt;0.005,"July","")</f>
        <v>#NAME?</v>
      </c>
      <c r="X228" s="80" t="e">
        <f t="shared" si="223"/>
        <v>#NAME?</v>
      </c>
      <c r="Y228" s="80"/>
      <c r="Z228" s="80" t="e">
        <f t="shared" si="224"/>
        <v>#NAME?</v>
      </c>
      <c r="AA228" s="47"/>
      <c r="AB228" s="84"/>
      <c r="AC228" s="83"/>
      <c r="AD228" s="47" t="str">
        <f>IF(AG227&gt;0.005,"July","")</f>
        <v/>
      </c>
      <c r="AE228" s="80">
        <f t="shared" si="225"/>
        <v>0</v>
      </c>
      <c r="AF228" s="80">
        <f t="shared" si="226"/>
        <v>0</v>
      </c>
      <c r="AG228" s="80">
        <f t="shared" si="227"/>
        <v>0</v>
      </c>
      <c r="AH228" s="47"/>
    </row>
    <row r="229" spans="2:34" x14ac:dyDescent="0.25">
      <c r="B229" s="72">
        <v>176</v>
      </c>
      <c r="C229" s="47" t="str">
        <f>IF(F228&gt;0.005,"August","")</f>
        <v>August</v>
      </c>
      <c r="D229" s="80">
        <f t="shared" si="228"/>
        <v>11563.75</v>
      </c>
      <c r="E229" s="80">
        <f t="shared" si="216"/>
        <v>13079.36692622687</v>
      </c>
      <c r="F229" s="80">
        <f t="shared" si="217"/>
        <v>3371432.4779103021</v>
      </c>
      <c r="G229" s="47"/>
      <c r="I229" s="81">
        <f t="shared" si="218"/>
        <v>106.97395710066898</v>
      </c>
      <c r="J229" s="82">
        <f t="shared" si="219"/>
        <v>4.0999999999999999E-4</v>
      </c>
      <c r="K229" s="81"/>
      <c r="L229" s="81">
        <f t="shared" si="220"/>
        <v>3130945.0858732383</v>
      </c>
      <c r="M229" s="83">
        <f t="shared" si="215"/>
        <v>17069.839609954091</v>
      </c>
      <c r="N229" s="84"/>
      <c r="O229" s="72">
        <v>176</v>
      </c>
      <c r="P229" s="47" t="str">
        <f>IF(S228&gt;0.005,"August","")</f>
        <v/>
      </c>
      <c r="Q229" s="80">
        <f t="shared" si="229"/>
        <v>0</v>
      </c>
      <c r="R229" s="80">
        <f t="shared" si="221"/>
        <v>0</v>
      </c>
      <c r="S229" s="80">
        <f t="shared" si="222"/>
        <v>0</v>
      </c>
      <c r="T229" s="47"/>
      <c r="U229" s="84"/>
      <c r="V229" s="72">
        <v>176</v>
      </c>
      <c r="W229" s="47" t="e">
        <f>IF(Z228&gt;0.005,"August","")</f>
        <v>#NAME?</v>
      </c>
      <c r="X229" s="80" t="e">
        <f t="shared" si="223"/>
        <v>#NAME?</v>
      </c>
      <c r="Y229" s="80"/>
      <c r="Z229" s="80" t="e">
        <f t="shared" si="224"/>
        <v>#NAME?</v>
      </c>
      <c r="AA229" s="47"/>
      <c r="AB229" s="84"/>
      <c r="AC229" s="83"/>
      <c r="AD229" s="47" t="str">
        <f>IF(AG228&gt;0.005,"August","")</f>
        <v/>
      </c>
      <c r="AE229" s="80">
        <f t="shared" si="225"/>
        <v>0</v>
      </c>
      <c r="AF229" s="80">
        <f t="shared" si="226"/>
        <v>0</v>
      </c>
      <c r="AG229" s="80">
        <f t="shared" si="227"/>
        <v>0</v>
      </c>
      <c r="AH229" s="47"/>
    </row>
    <row r="230" spans="2:34" x14ac:dyDescent="0.25">
      <c r="B230" s="72">
        <v>177</v>
      </c>
      <c r="C230" s="47" t="str">
        <f>IF(F229&gt;0.005,"September","")</f>
        <v>September</v>
      </c>
      <c r="D230" s="80">
        <f t="shared" si="228"/>
        <v>11519.06</v>
      </c>
      <c r="E230" s="80">
        <f t="shared" si="216"/>
        <v>13124.056926226871</v>
      </c>
      <c r="F230" s="80">
        <f t="shared" si="217"/>
        <v>3358308.4209840754</v>
      </c>
      <c r="G230" s="47"/>
      <c r="I230" s="81">
        <f t="shared" si="218"/>
        <v>106.97395710066898</v>
      </c>
      <c r="J230" s="82">
        <f t="shared" si="219"/>
        <v>4.0999999999999999E-4</v>
      </c>
      <c r="K230" s="81"/>
      <c r="L230" s="81">
        <f t="shared" si="220"/>
        <v>3130945.0858732383</v>
      </c>
      <c r="M230" s="83">
        <f t="shared" si="215"/>
        <v>17162.824532648647</v>
      </c>
      <c r="N230" s="84"/>
      <c r="O230" s="72">
        <v>177</v>
      </c>
      <c r="P230" s="47" t="str">
        <f>IF(S229&gt;0.005,"September","")</f>
        <v/>
      </c>
      <c r="Q230" s="80">
        <f t="shared" si="229"/>
        <v>0</v>
      </c>
      <c r="R230" s="80">
        <f t="shared" si="221"/>
        <v>0</v>
      </c>
      <c r="S230" s="80">
        <f t="shared" si="222"/>
        <v>0</v>
      </c>
      <c r="T230" s="47"/>
      <c r="U230" s="84"/>
      <c r="V230" s="72">
        <v>177</v>
      </c>
      <c r="W230" s="47" t="e">
        <f>IF(Z229&gt;0.005,"September","")</f>
        <v>#NAME?</v>
      </c>
      <c r="X230" s="80" t="e">
        <f t="shared" si="223"/>
        <v>#NAME?</v>
      </c>
      <c r="Y230" s="80"/>
      <c r="Z230" s="80" t="e">
        <f t="shared" si="224"/>
        <v>#NAME?</v>
      </c>
      <c r="AA230" s="47"/>
      <c r="AB230" s="84"/>
      <c r="AC230" s="83"/>
      <c r="AD230" s="47" t="str">
        <f>IF(AG229&gt;0.005,"September","")</f>
        <v/>
      </c>
      <c r="AE230" s="80">
        <f t="shared" si="225"/>
        <v>0</v>
      </c>
      <c r="AF230" s="80">
        <f t="shared" si="226"/>
        <v>0</v>
      </c>
      <c r="AG230" s="80">
        <f t="shared" si="227"/>
        <v>0</v>
      </c>
      <c r="AH230" s="47"/>
    </row>
    <row r="231" spans="2:34" x14ac:dyDescent="0.25">
      <c r="B231" s="72">
        <v>178</v>
      </c>
      <c r="C231" s="47" t="str">
        <f>IF(F230&gt;0.005,"October","")</f>
        <v>October</v>
      </c>
      <c r="D231" s="80">
        <f t="shared" si="228"/>
        <v>11474.22</v>
      </c>
      <c r="E231" s="80">
        <f t="shared" si="216"/>
        <v>13168.896926226871</v>
      </c>
      <c r="F231" s="80">
        <f t="shared" si="217"/>
        <v>3345139.5240578484</v>
      </c>
      <c r="G231" s="47"/>
      <c r="I231" s="81">
        <f t="shared" si="218"/>
        <v>106.97395710066898</v>
      </c>
      <c r="J231" s="82">
        <f t="shared" si="219"/>
        <v>4.0999999999999999E-4</v>
      </c>
      <c r="K231" s="81"/>
      <c r="L231" s="81">
        <f t="shared" si="220"/>
        <v>3130945.0858732383</v>
      </c>
      <c r="M231" s="83">
        <f t="shared" si="215"/>
        <v>17256.831271027451</v>
      </c>
      <c r="N231" s="84"/>
      <c r="O231" s="72">
        <v>178</v>
      </c>
      <c r="P231" s="47" t="str">
        <f>IF(S230&gt;0.005,"October","")</f>
        <v/>
      </c>
      <c r="Q231" s="80">
        <f t="shared" si="229"/>
        <v>0</v>
      </c>
      <c r="R231" s="80">
        <f t="shared" si="221"/>
        <v>0</v>
      </c>
      <c r="S231" s="80">
        <f t="shared" si="222"/>
        <v>0</v>
      </c>
      <c r="T231" s="47"/>
      <c r="U231" s="84"/>
      <c r="V231" s="72">
        <v>178</v>
      </c>
      <c r="W231" s="47" t="e">
        <f>IF(Z230&gt;0.005,"October","")</f>
        <v>#NAME?</v>
      </c>
      <c r="X231" s="80" t="e">
        <f t="shared" si="223"/>
        <v>#NAME?</v>
      </c>
      <c r="Y231" s="80"/>
      <c r="Z231" s="80" t="e">
        <f t="shared" si="224"/>
        <v>#NAME?</v>
      </c>
      <c r="AA231" s="47"/>
      <c r="AB231" s="84"/>
      <c r="AC231" s="83"/>
      <c r="AD231" s="47" t="str">
        <f>IF(AG230&gt;0.005,"October","")</f>
        <v/>
      </c>
      <c r="AE231" s="80">
        <f t="shared" si="225"/>
        <v>0</v>
      </c>
      <c r="AF231" s="80">
        <f t="shared" si="226"/>
        <v>0</v>
      </c>
      <c r="AG231" s="80">
        <f t="shared" si="227"/>
        <v>0</v>
      </c>
      <c r="AH231" s="47"/>
    </row>
    <row r="232" spans="2:34" x14ac:dyDescent="0.25">
      <c r="B232" s="72">
        <v>179</v>
      </c>
      <c r="C232" s="47" t="str">
        <f>IF(F231&gt;0.005,"November","")</f>
        <v>November</v>
      </c>
      <c r="D232" s="80">
        <f t="shared" si="228"/>
        <v>11429.23</v>
      </c>
      <c r="E232" s="80">
        <f t="shared" si="216"/>
        <v>13213.886926226871</v>
      </c>
      <c r="F232" s="80">
        <f t="shared" si="217"/>
        <v>3331925.6371316216</v>
      </c>
      <c r="G232" s="47"/>
      <c r="I232" s="81">
        <f t="shared" si="218"/>
        <v>106.97395710066898</v>
      </c>
      <c r="J232" s="82">
        <f t="shared" si="219"/>
        <v>4.0999999999999999E-4</v>
      </c>
      <c r="K232" s="81"/>
      <c r="L232" s="81">
        <f t="shared" si="220"/>
        <v>3130945.0858732383</v>
      </c>
      <c r="M232" s="83">
        <f t="shared" si="215"/>
        <v>17351.876761262061</v>
      </c>
      <c r="N232" s="84"/>
      <c r="O232" s="72">
        <v>179</v>
      </c>
      <c r="P232" s="47" t="str">
        <f>IF(S231&gt;0.005,"November","")</f>
        <v/>
      </c>
      <c r="Q232" s="80">
        <f t="shared" si="229"/>
        <v>0</v>
      </c>
      <c r="R232" s="80">
        <f t="shared" si="221"/>
        <v>0</v>
      </c>
      <c r="S232" s="80">
        <f t="shared" si="222"/>
        <v>0</v>
      </c>
      <c r="T232" s="47"/>
      <c r="U232" s="84"/>
      <c r="V232" s="72">
        <v>179</v>
      </c>
      <c r="W232" s="47" t="e">
        <f>IF(Z231&gt;0.005,"November","")</f>
        <v>#NAME?</v>
      </c>
      <c r="X232" s="80" t="e">
        <f t="shared" si="223"/>
        <v>#NAME?</v>
      </c>
      <c r="Y232" s="80"/>
      <c r="Z232" s="80" t="e">
        <f t="shared" si="224"/>
        <v>#NAME?</v>
      </c>
      <c r="AA232" s="47"/>
      <c r="AB232" s="84"/>
      <c r="AC232" s="83"/>
      <c r="AD232" s="47" t="str">
        <f>IF(AG231&gt;0.005,"November","")</f>
        <v/>
      </c>
      <c r="AE232" s="80">
        <f t="shared" si="225"/>
        <v>0</v>
      </c>
      <c r="AF232" s="80">
        <f t="shared" si="226"/>
        <v>0</v>
      </c>
      <c r="AG232" s="80">
        <f t="shared" si="227"/>
        <v>0</v>
      </c>
      <c r="AH232" s="47"/>
    </row>
    <row r="233" spans="2:34" x14ac:dyDescent="0.25">
      <c r="B233" s="72">
        <v>180</v>
      </c>
      <c r="C233" s="47" t="str">
        <f>IF(F232&gt;0.005,"December","")</f>
        <v>December</v>
      </c>
      <c r="D233" s="80">
        <f>IF(F232&gt;0,ROUND(F232*($F$6/12),2),0)</f>
        <v>11384.08</v>
      </c>
      <c r="E233" s="80">
        <f t="shared" si="216"/>
        <v>13259.03692622687</v>
      </c>
      <c r="F233" s="80">
        <f t="shared" si="217"/>
        <v>3318666.6002053949</v>
      </c>
      <c r="G233" s="47"/>
      <c r="I233" s="81">
        <f t="shared" si="218"/>
        <v>106.97395710066898</v>
      </c>
      <c r="J233" s="82">
        <f t="shared" si="219"/>
        <v>4.0999999999999999E-4</v>
      </c>
      <c r="K233" s="81"/>
      <c r="L233" s="81">
        <f t="shared" si="220"/>
        <v>3130945.0858732383</v>
      </c>
      <c r="M233" s="83">
        <f t="shared" si="215"/>
        <v>17447.978315883429</v>
      </c>
      <c r="N233" s="84"/>
      <c r="O233" s="72">
        <v>180</v>
      </c>
      <c r="P233" s="47" t="str">
        <f>IF(S232&gt;0.005,"December","")</f>
        <v/>
      </c>
      <c r="Q233" s="80">
        <f t="shared" si="229"/>
        <v>0</v>
      </c>
      <c r="R233" s="80">
        <f t="shared" si="221"/>
        <v>0</v>
      </c>
      <c r="S233" s="80">
        <f t="shared" si="222"/>
        <v>0</v>
      </c>
      <c r="T233" s="47"/>
      <c r="U233" s="84"/>
      <c r="V233" s="72">
        <v>180</v>
      </c>
      <c r="W233" s="47" t="e">
        <f>IF(Z232&gt;0.005,"December","")</f>
        <v>#NAME?</v>
      </c>
      <c r="X233" s="80" t="e">
        <f t="shared" si="223"/>
        <v>#NAME?</v>
      </c>
      <c r="Y233" s="80"/>
      <c r="Z233" s="80" t="e">
        <f t="shared" si="224"/>
        <v>#NAME?</v>
      </c>
      <c r="AA233" s="47"/>
      <c r="AB233" s="84"/>
      <c r="AC233" s="83"/>
      <c r="AD233" s="47" t="str">
        <f>IF(AG232&gt;0.005,"December","")</f>
        <v/>
      </c>
      <c r="AE233" s="80">
        <f t="shared" si="225"/>
        <v>0</v>
      </c>
      <c r="AF233" s="80">
        <f t="shared" si="226"/>
        <v>0</v>
      </c>
      <c r="AG233" s="80">
        <f t="shared" si="227"/>
        <v>0</v>
      </c>
      <c r="AH233" s="47"/>
    </row>
    <row r="234" spans="2:34" x14ac:dyDescent="0.25">
      <c r="B234" s="46"/>
      <c r="C234" s="85" t="str">
        <f>"Total "&amp;YEAR($C$9)+14</f>
        <v>Total 2033</v>
      </c>
      <c r="D234" s="86">
        <f>SUM(D222:D233)</f>
        <v>139555.12</v>
      </c>
      <c r="E234" s="86">
        <f>SUM(E222:E233)</f>
        <v>156162.28311472244</v>
      </c>
      <c r="F234" s="87"/>
      <c r="G234" s="47"/>
      <c r="I234" s="86">
        <f>SUM(I222:I233)</f>
        <v>1283.6874852080275</v>
      </c>
      <c r="J234" s="46"/>
      <c r="K234" s="86">
        <f>SUM(K222:K233)</f>
        <v>0</v>
      </c>
      <c r="L234" s="46"/>
      <c r="M234" s="46"/>
      <c r="O234" s="46"/>
      <c r="P234" s="85" t="str">
        <f>"Total "&amp;YEAR($C$9)+14</f>
        <v>Total 2033</v>
      </c>
      <c r="Q234" s="86">
        <f>SUM(Q222:Q233)</f>
        <v>0</v>
      </c>
      <c r="R234" s="86">
        <f>SUM(R222:R233)</f>
        <v>0</v>
      </c>
      <c r="S234" s="87"/>
      <c r="T234" s="47"/>
      <c r="V234" s="46"/>
      <c r="W234" s="85" t="str">
        <f>"Total "&amp;YEAR($C$9)+14</f>
        <v>Total 2033</v>
      </c>
      <c r="X234" s="86" t="e">
        <f>SUM(X222:X233)</f>
        <v>#NAME?</v>
      </c>
      <c r="Y234" s="86">
        <f>SUM(Y222:Y233)</f>
        <v>0</v>
      </c>
      <c r="Z234" s="87"/>
      <c r="AA234" s="47"/>
      <c r="AC234" s="46"/>
      <c r="AD234" s="85" t="str">
        <f>"Total "&amp;YEAR($C$9)+14</f>
        <v>Total 2033</v>
      </c>
      <c r="AE234" s="86">
        <f>SUM(AE222:AE233)</f>
        <v>0</v>
      </c>
      <c r="AF234" s="86">
        <f>SUM(AF222:AF233)</f>
        <v>0</v>
      </c>
      <c r="AG234" s="87"/>
      <c r="AH234" s="47"/>
    </row>
    <row r="235" spans="2:34" x14ac:dyDescent="0.25">
      <c r="B235" s="46"/>
      <c r="C235" s="47"/>
      <c r="D235" s="80"/>
      <c r="E235" s="80"/>
      <c r="F235" s="80"/>
      <c r="G235" s="47"/>
      <c r="I235" s="46"/>
      <c r="J235" s="46"/>
      <c r="K235" s="46"/>
      <c r="L235" s="46"/>
      <c r="M235" s="46"/>
      <c r="O235" s="46"/>
      <c r="P235" s="47"/>
      <c r="Q235" s="80"/>
      <c r="R235" s="80"/>
      <c r="S235" s="80"/>
      <c r="T235" s="47"/>
      <c r="V235" s="46"/>
      <c r="W235" s="47"/>
      <c r="X235" s="80"/>
      <c r="Y235" s="80"/>
      <c r="Z235" s="80"/>
      <c r="AA235" s="47"/>
      <c r="AC235" s="46"/>
      <c r="AD235" s="47"/>
      <c r="AE235" s="80"/>
      <c r="AF235" s="80"/>
      <c r="AG235" s="80"/>
      <c r="AH235" s="47"/>
    </row>
    <row r="236" spans="2:34" x14ac:dyDescent="0.25">
      <c r="B236" s="46"/>
      <c r="C236" s="47"/>
      <c r="D236" s="75" t="s">
        <v>62</v>
      </c>
      <c r="E236" s="75" t="s">
        <v>63</v>
      </c>
      <c r="F236" s="75" t="s">
        <v>64</v>
      </c>
      <c r="G236" s="47"/>
      <c r="I236" s="46"/>
      <c r="J236" s="46"/>
      <c r="K236" s="46"/>
      <c r="L236" s="46"/>
      <c r="M236" s="46"/>
      <c r="O236" s="46"/>
      <c r="P236" s="47"/>
      <c r="Q236" s="75" t="s">
        <v>62</v>
      </c>
      <c r="R236" s="75" t="s">
        <v>63</v>
      </c>
      <c r="S236" s="75" t="s">
        <v>64</v>
      </c>
      <c r="T236" s="47"/>
      <c r="V236" s="46"/>
      <c r="W236" s="47"/>
      <c r="X236" s="75" t="s">
        <v>62</v>
      </c>
      <c r="Y236" s="75" t="s">
        <v>63</v>
      </c>
      <c r="Z236" s="75" t="s">
        <v>64</v>
      </c>
      <c r="AA236" s="47"/>
      <c r="AC236" s="46"/>
      <c r="AD236" s="47"/>
      <c r="AE236" s="75" t="s">
        <v>62</v>
      </c>
      <c r="AF236" s="75" t="s">
        <v>63</v>
      </c>
      <c r="AG236" s="75" t="s">
        <v>64</v>
      </c>
      <c r="AH236" s="47"/>
    </row>
    <row r="237" spans="2:34" x14ac:dyDescent="0.25">
      <c r="B237" s="72">
        <v>181</v>
      </c>
      <c r="C237" s="47" t="str">
        <f>IF(F233&gt;0.005,"January","")</f>
        <v>January</v>
      </c>
      <c r="D237" s="80">
        <f>IF(F233&gt;0,ROUND(F233*($F$6/12),2),0)</f>
        <v>11338.78</v>
      </c>
      <c r="E237" s="80">
        <f>IF(F233&lt;$D$8,F233,$D$8-D237)</f>
        <v>13304.33692622687</v>
      </c>
      <c r="F237" s="80">
        <f>IF(F233-E237&gt;0,F233-E237,0)</f>
        <v>3305362.2632791679</v>
      </c>
      <c r="G237" s="47"/>
      <c r="I237" s="81">
        <f>L233*J237/12</f>
        <v>106.97395710066898</v>
      </c>
      <c r="J237" s="82">
        <f>$F$6/100</f>
        <v>4.0999999999999999E-4</v>
      </c>
      <c r="K237" s="81"/>
      <c r="L237" s="81">
        <f>MAX(L233+L233*($F$6/100)/12-I237-K237,0)</f>
        <v>3130945.0858732383</v>
      </c>
      <c r="M237" s="83">
        <f t="shared" ref="M237:M248" si="230">-PMT(($F$6/100)/12,$D$7-B237,L237,0,0)</f>
        <v>17545.15363429466</v>
      </c>
      <c r="N237" s="84"/>
      <c r="O237" s="72">
        <v>181</v>
      </c>
      <c r="P237" s="47" t="str">
        <f>IF(S233&gt;0.005,"January","")</f>
        <v/>
      </c>
      <c r="Q237" s="80">
        <f>IF(O237&lt;$S$7,"",IF(O237=$S$7,$Q$6*($S$6/12),S233*($S$6/12)))</f>
        <v>0</v>
      </c>
      <c r="R237" s="80">
        <f>IF(O237&lt;$S$7,"",$Q$8-Q237)</f>
        <v>0</v>
      </c>
      <c r="S237" s="80">
        <f>IF(O237&lt;$S$7,"",IF(O237=$S$7,$Q$6-R237,S233-R237))</f>
        <v>0</v>
      </c>
      <c r="T237" s="47"/>
      <c r="U237" s="84"/>
      <c r="V237" s="72">
        <v>181</v>
      </c>
      <c r="W237" s="47" t="e">
        <f>IF(Z233&gt;0.005,"January","")</f>
        <v>#NAME?</v>
      </c>
      <c r="X237" s="80" t="e">
        <f>IF(V237&lt;$Z$7,"",($Z$6/12)*$X$6)</f>
        <v>#NAME?</v>
      </c>
      <c r="Y237" s="80"/>
      <c r="Z237" s="80" t="e">
        <f>IF(V237&lt;$S$7,"",$X$6)</f>
        <v>#NAME?</v>
      </c>
      <c r="AA237" s="47"/>
      <c r="AB237" s="84"/>
      <c r="AC237" s="83"/>
      <c r="AD237" s="47" t="str">
        <f>IF(AG233&gt;0.005,"January","")</f>
        <v/>
      </c>
      <c r="AE237" s="80">
        <f>IF(AG233&gt;0,ROUND(AG233*($AG$6/1200),2),0)</f>
        <v>0</v>
      </c>
      <c r="AF237" s="80">
        <f>IF(AG233&lt;$AE$8,AG233,$AE$8-AE237)</f>
        <v>0</v>
      </c>
      <c r="AG237" s="80">
        <f>IF(AG233-AF237&gt;0,AG233-AF237,0)</f>
        <v>0</v>
      </c>
      <c r="AH237" s="47"/>
    </row>
    <row r="238" spans="2:34" x14ac:dyDescent="0.25">
      <c r="B238" s="72">
        <v>182</v>
      </c>
      <c r="C238" s="47" t="str">
        <f>IF(F237&gt;0.005,"February","")</f>
        <v>February</v>
      </c>
      <c r="D238" s="80">
        <f>IF(F237&gt;0,ROUND(F237*($F$6/12),2),0)</f>
        <v>11293.32</v>
      </c>
      <c r="E238" s="80">
        <f t="shared" ref="E238:E248" si="231">IF(F237&lt;$D$8,F237,$D$8-D238)</f>
        <v>13349.796926226871</v>
      </c>
      <c r="F238" s="80">
        <f t="shared" ref="F238:F248" si="232">IF(F237-E238&gt;0,F237-E238,0)</f>
        <v>3292012.466352941</v>
      </c>
      <c r="G238" s="47"/>
      <c r="I238" s="81">
        <f t="shared" ref="I238:I248" si="233">L237*J238/12</f>
        <v>106.97395710066898</v>
      </c>
      <c r="J238" s="82">
        <f t="shared" ref="J238:J248" si="234">$F$6/100</f>
        <v>4.0999999999999999E-4</v>
      </c>
      <c r="K238" s="81"/>
      <c r="L238" s="81">
        <f t="shared" ref="L238:L248" si="235">MAX(L237+L237*($F$6/100)/12-I238-K238,0)</f>
        <v>3130945.0858732383</v>
      </c>
      <c r="M238" s="83">
        <f t="shared" si="230"/>
        <v>17643.420813638291</v>
      </c>
      <c r="N238" s="84"/>
      <c r="O238" s="72">
        <v>182</v>
      </c>
      <c r="P238" s="47" t="str">
        <f>IF(S237&gt;0.005,"February","")</f>
        <v/>
      </c>
      <c r="Q238" s="80">
        <f>IF(O238&lt;$S$7,"",IF(O238=$S$7,$Q$6*($S$6/12),S237*($S$6/12)))</f>
        <v>0</v>
      </c>
      <c r="R238" s="80">
        <f t="shared" ref="R238:R248" si="236">IF(O238&lt;$S$7,"",$Q$8-Q238)</f>
        <v>0</v>
      </c>
      <c r="S238" s="80">
        <f t="shared" ref="S238:S248" si="237">IF(O238&lt;$S$7,"",IF(O238=$S$7,$Q$6-R238,S237-R238))</f>
        <v>0</v>
      </c>
      <c r="T238" s="47"/>
      <c r="U238" s="84"/>
      <c r="V238" s="72">
        <v>182</v>
      </c>
      <c r="W238" s="47" t="e">
        <f>IF(Z237&gt;0.005,"February","")</f>
        <v>#NAME?</v>
      </c>
      <c r="X238" s="80" t="e">
        <f t="shared" ref="X238:X248" si="238">IF(V238&lt;$Z$7,"",($Z$6/12)*$X$6)</f>
        <v>#NAME?</v>
      </c>
      <c r="Y238" s="80"/>
      <c r="Z238" s="80" t="e">
        <f t="shared" ref="Z238:Z248" si="239">IF(V238&lt;$S$7,"",$X$6)</f>
        <v>#NAME?</v>
      </c>
      <c r="AA238" s="47"/>
      <c r="AB238" s="84"/>
      <c r="AC238" s="83"/>
      <c r="AD238" s="47" t="str">
        <f>IF(AG237&gt;0.005,"February","")</f>
        <v/>
      </c>
      <c r="AE238" s="80">
        <f t="shared" ref="AE238:AE248" si="240">IF(AG237&gt;0,ROUND(AG237*($AG$6/1200),2),0)</f>
        <v>0</v>
      </c>
      <c r="AF238" s="80">
        <f t="shared" ref="AF238:AF248" si="241">IF(AG237&lt;$AE$8,AG237,$AE$8-AE238)</f>
        <v>0</v>
      </c>
      <c r="AG238" s="80">
        <f t="shared" ref="AG238:AG248" si="242">IF(AG237-AF238&gt;0,AG237-AF238,0)</f>
        <v>0</v>
      </c>
      <c r="AH238" s="47"/>
    </row>
    <row r="239" spans="2:34" x14ac:dyDescent="0.25">
      <c r="B239" s="72">
        <v>183</v>
      </c>
      <c r="C239" s="47" t="str">
        <f>IF(F238&gt;0.005,"March","")</f>
        <v>March</v>
      </c>
      <c r="D239" s="80">
        <f t="shared" ref="D239:D247" si="243">IF(F238&gt;0,ROUND(F238*($F$6/12),2),0)</f>
        <v>11247.71</v>
      </c>
      <c r="E239" s="80">
        <f t="shared" si="231"/>
        <v>13395.406926226871</v>
      </c>
      <c r="F239" s="80">
        <f t="shared" si="232"/>
        <v>3278617.0594267142</v>
      </c>
      <c r="G239" s="47"/>
      <c r="I239" s="81">
        <f t="shared" si="233"/>
        <v>106.97395710066898</v>
      </c>
      <c r="J239" s="82">
        <f t="shared" si="234"/>
        <v>4.0999999999999999E-4</v>
      </c>
      <c r="K239" s="81"/>
      <c r="L239" s="81">
        <f t="shared" si="235"/>
        <v>3130945.0858732383</v>
      </c>
      <c r="M239" s="83">
        <f t="shared" si="230"/>
        <v>17742.798360031822</v>
      </c>
      <c r="N239" s="84"/>
      <c r="O239" s="72">
        <v>183</v>
      </c>
      <c r="P239" s="47" t="str">
        <f>IF(S238&gt;0.005,"March","")</f>
        <v/>
      </c>
      <c r="Q239" s="80">
        <f t="shared" ref="Q239:Q248" si="244">IF(O239&lt;$S$7,"",IF(O239=$S$7,$Q$6*($S$6/12),S238*($S$6/12)))</f>
        <v>0</v>
      </c>
      <c r="R239" s="80">
        <f t="shared" si="236"/>
        <v>0</v>
      </c>
      <c r="S239" s="80">
        <f t="shared" si="237"/>
        <v>0</v>
      </c>
      <c r="T239" s="47"/>
      <c r="U239" s="84"/>
      <c r="V239" s="72">
        <v>183</v>
      </c>
      <c r="W239" s="47" t="e">
        <f>IF(Z238&gt;0.005,"March","")</f>
        <v>#NAME?</v>
      </c>
      <c r="X239" s="80" t="e">
        <f t="shared" si="238"/>
        <v>#NAME?</v>
      </c>
      <c r="Y239" s="80"/>
      <c r="Z239" s="80" t="e">
        <f t="shared" si="239"/>
        <v>#NAME?</v>
      </c>
      <c r="AA239" s="47"/>
      <c r="AB239" s="84"/>
      <c r="AC239" s="83"/>
      <c r="AD239" s="47" t="str">
        <f>IF(AG238&gt;0.005,"March","")</f>
        <v/>
      </c>
      <c r="AE239" s="80">
        <f t="shared" si="240"/>
        <v>0</v>
      </c>
      <c r="AF239" s="80">
        <f t="shared" si="241"/>
        <v>0</v>
      </c>
      <c r="AG239" s="80">
        <f t="shared" si="242"/>
        <v>0</v>
      </c>
      <c r="AH239" s="47"/>
    </row>
    <row r="240" spans="2:34" x14ac:dyDescent="0.25">
      <c r="B240" s="72">
        <v>184</v>
      </c>
      <c r="C240" s="47" t="str">
        <f>IF(F239&gt;0.005,"April","")</f>
        <v>April</v>
      </c>
      <c r="D240" s="80">
        <f t="shared" si="243"/>
        <v>11201.94</v>
      </c>
      <c r="E240" s="80">
        <f t="shared" si="231"/>
        <v>13441.17692622687</v>
      </c>
      <c r="F240" s="80">
        <f t="shared" si="232"/>
        <v>3265175.8825004874</v>
      </c>
      <c r="G240" s="47"/>
      <c r="I240" s="81">
        <f t="shared" si="233"/>
        <v>106.97395710066898</v>
      </c>
      <c r="J240" s="82">
        <f t="shared" si="234"/>
        <v>4.0999999999999999E-4</v>
      </c>
      <c r="K240" s="81"/>
      <c r="L240" s="81">
        <f t="shared" si="235"/>
        <v>3130945.0858732383</v>
      </c>
      <c r="M240" s="83">
        <f t="shared" si="230"/>
        <v>17843.305200186325</v>
      </c>
      <c r="N240" s="84"/>
      <c r="O240" s="72">
        <v>184</v>
      </c>
      <c r="P240" s="47" t="str">
        <f>IF(S239&gt;0.005,"April","")</f>
        <v/>
      </c>
      <c r="Q240" s="80">
        <f t="shared" si="244"/>
        <v>0</v>
      </c>
      <c r="R240" s="80">
        <f t="shared" si="236"/>
        <v>0</v>
      </c>
      <c r="S240" s="80">
        <f t="shared" si="237"/>
        <v>0</v>
      </c>
      <c r="T240" s="47"/>
      <c r="U240" s="84"/>
      <c r="V240" s="72">
        <v>184</v>
      </c>
      <c r="W240" s="47" t="e">
        <f>IF(Z239&gt;0.005,"April","")</f>
        <v>#NAME?</v>
      </c>
      <c r="X240" s="80" t="e">
        <f t="shared" si="238"/>
        <v>#NAME?</v>
      </c>
      <c r="Y240" s="80"/>
      <c r="Z240" s="80" t="e">
        <f t="shared" si="239"/>
        <v>#NAME?</v>
      </c>
      <c r="AA240" s="47"/>
      <c r="AB240" s="84"/>
      <c r="AC240" s="83"/>
      <c r="AD240" s="47" t="str">
        <f>IF(AG239&gt;0.005,"April","")</f>
        <v/>
      </c>
      <c r="AE240" s="80">
        <f t="shared" si="240"/>
        <v>0</v>
      </c>
      <c r="AF240" s="80">
        <f t="shared" si="241"/>
        <v>0</v>
      </c>
      <c r="AG240" s="80">
        <f t="shared" si="242"/>
        <v>0</v>
      </c>
      <c r="AH240" s="47"/>
    </row>
    <row r="241" spans="2:34" x14ac:dyDescent="0.25">
      <c r="B241" s="72">
        <v>185</v>
      </c>
      <c r="C241" s="47" t="str">
        <f>IF(F240&gt;0.005,"May","")</f>
        <v>May</v>
      </c>
      <c r="D241" s="80">
        <f t="shared" si="243"/>
        <v>11156.02</v>
      </c>
      <c r="E241" s="80">
        <f t="shared" si="231"/>
        <v>13487.09692622687</v>
      </c>
      <c r="F241" s="80">
        <f t="shared" si="232"/>
        <v>3251688.7855742606</v>
      </c>
      <c r="G241" s="47"/>
      <c r="I241" s="81">
        <f t="shared" si="233"/>
        <v>106.97395710066898</v>
      </c>
      <c r="J241" s="82">
        <f t="shared" si="234"/>
        <v>4.0999999999999999E-4</v>
      </c>
      <c r="K241" s="81"/>
      <c r="L241" s="81">
        <f t="shared" si="235"/>
        <v>3130945.0858732383</v>
      </c>
      <c r="M241" s="83">
        <f t="shared" si="230"/>
        <v>17944.960693423425</v>
      </c>
      <c r="N241" s="84"/>
      <c r="O241" s="72">
        <v>185</v>
      </c>
      <c r="P241" s="47" t="str">
        <f>IF(S240&gt;0.005,"May","")</f>
        <v/>
      </c>
      <c r="Q241" s="80">
        <f t="shared" si="244"/>
        <v>0</v>
      </c>
      <c r="R241" s="80">
        <f t="shared" si="236"/>
        <v>0</v>
      </c>
      <c r="S241" s="80">
        <f t="shared" si="237"/>
        <v>0</v>
      </c>
      <c r="T241" s="47"/>
      <c r="U241" s="84"/>
      <c r="V241" s="72">
        <v>185</v>
      </c>
      <c r="W241" s="47" t="e">
        <f>IF(Z240&gt;0.005,"May","")</f>
        <v>#NAME?</v>
      </c>
      <c r="X241" s="80" t="e">
        <f t="shared" si="238"/>
        <v>#NAME?</v>
      </c>
      <c r="Y241" s="80"/>
      <c r="Z241" s="80" t="e">
        <f t="shared" si="239"/>
        <v>#NAME?</v>
      </c>
      <c r="AA241" s="47"/>
      <c r="AB241" s="84"/>
      <c r="AC241" s="83"/>
      <c r="AD241" s="47" t="str">
        <f>IF(AG240&gt;0.005,"May","")</f>
        <v/>
      </c>
      <c r="AE241" s="80">
        <f t="shared" si="240"/>
        <v>0</v>
      </c>
      <c r="AF241" s="80">
        <f t="shared" si="241"/>
        <v>0</v>
      </c>
      <c r="AG241" s="80">
        <f t="shared" si="242"/>
        <v>0</v>
      </c>
      <c r="AH241" s="47"/>
    </row>
    <row r="242" spans="2:34" x14ac:dyDescent="0.25">
      <c r="B242" s="72">
        <v>186</v>
      </c>
      <c r="C242" s="47" t="str">
        <f>IF(F241&gt;0.005,"June","")</f>
        <v>June</v>
      </c>
      <c r="D242" s="80">
        <f t="shared" si="243"/>
        <v>11109.94</v>
      </c>
      <c r="E242" s="80">
        <f t="shared" si="231"/>
        <v>13533.17692622687</v>
      </c>
      <c r="F242" s="80">
        <f t="shared" si="232"/>
        <v>3238155.6086480338</v>
      </c>
      <c r="G242" s="47"/>
      <c r="I242" s="81">
        <f t="shared" si="233"/>
        <v>106.97395710066898</v>
      </c>
      <c r="J242" s="82">
        <f t="shared" si="234"/>
        <v>4.0999999999999999E-4</v>
      </c>
      <c r="K242" s="81"/>
      <c r="L242" s="81">
        <f t="shared" si="235"/>
        <v>3130945.0858732383</v>
      </c>
      <c r="M242" s="83">
        <f t="shared" si="230"/>
        <v>18047.784644106603</v>
      </c>
      <c r="N242" s="84"/>
      <c r="O242" s="72">
        <v>186</v>
      </c>
      <c r="P242" s="47" t="str">
        <f>IF(S241&gt;0.005,"June","")</f>
        <v/>
      </c>
      <c r="Q242" s="80">
        <f t="shared" si="244"/>
        <v>0</v>
      </c>
      <c r="R242" s="80">
        <f t="shared" si="236"/>
        <v>0</v>
      </c>
      <c r="S242" s="80">
        <f t="shared" si="237"/>
        <v>0</v>
      </c>
      <c r="T242" s="47"/>
      <c r="U242" s="84"/>
      <c r="V242" s="72">
        <v>186</v>
      </c>
      <c r="W242" s="47" t="e">
        <f>IF(Z241&gt;0.005,"June","")</f>
        <v>#NAME?</v>
      </c>
      <c r="X242" s="80" t="e">
        <f t="shared" si="238"/>
        <v>#NAME?</v>
      </c>
      <c r="Y242" s="80"/>
      <c r="Z242" s="80" t="e">
        <f t="shared" si="239"/>
        <v>#NAME?</v>
      </c>
      <c r="AA242" s="47"/>
      <c r="AB242" s="84"/>
      <c r="AC242" s="83"/>
      <c r="AD242" s="47" t="str">
        <f>IF(AG241&gt;0.005,"June","")</f>
        <v/>
      </c>
      <c r="AE242" s="80">
        <f t="shared" si="240"/>
        <v>0</v>
      </c>
      <c r="AF242" s="80">
        <f t="shared" si="241"/>
        <v>0</v>
      </c>
      <c r="AG242" s="80">
        <f t="shared" si="242"/>
        <v>0</v>
      </c>
      <c r="AH242" s="47"/>
    </row>
    <row r="243" spans="2:34" x14ac:dyDescent="0.25">
      <c r="B243" s="72">
        <v>187</v>
      </c>
      <c r="C243" s="47" t="str">
        <f>IF(F242&gt;0.005,"July","")</f>
        <v>July</v>
      </c>
      <c r="D243" s="80">
        <f t="shared" si="243"/>
        <v>11063.7</v>
      </c>
      <c r="E243" s="80">
        <f t="shared" si="231"/>
        <v>13579.41692622687</v>
      </c>
      <c r="F243" s="80">
        <f t="shared" si="232"/>
        <v>3224576.1917218068</v>
      </c>
      <c r="G243" s="47"/>
      <c r="I243" s="81">
        <f t="shared" si="233"/>
        <v>106.97395710066898</v>
      </c>
      <c r="J243" s="82">
        <f t="shared" si="234"/>
        <v>4.0999999999999999E-4</v>
      </c>
      <c r="K243" s="81"/>
      <c r="L243" s="81">
        <f t="shared" si="235"/>
        <v>3130945.0858732383</v>
      </c>
      <c r="M243" s="83">
        <f t="shared" si="230"/>
        <v>18151.797314503721</v>
      </c>
      <c r="N243" s="84"/>
      <c r="O243" s="72">
        <v>187</v>
      </c>
      <c r="P243" s="47" t="str">
        <f>IF(S242&gt;0.005,"July","")</f>
        <v/>
      </c>
      <c r="Q243" s="80">
        <f t="shared" si="244"/>
        <v>0</v>
      </c>
      <c r="R243" s="80">
        <f t="shared" si="236"/>
        <v>0</v>
      </c>
      <c r="S243" s="80">
        <f t="shared" si="237"/>
        <v>0</v>
      </c>
      <c r="T243" s="47"/>
      <c r="U243" s="84"/>
      <c r="V243" s="72">
        <v>187</v>
      </c>
      <c r="W243" s="47" t="e">
        <f>IF(Z242&gt;0.005,"July","")</f>
        <v>#NAME?</v>
      </c>
      <c r="X243" s="80" t="e">
        <f t="shared" si="238"/>
        <v>#NAME?</v>
      </c>
      <c r="Y243" s="80"/>
      <c r="Z243" s="80" t="e">
        <f t="shared" si="239"/>
        <v>#NAME?</v>
      </c>
      <c r="AA243" s="47"/>
      <c r="AB243" s="84"/>
      <c r="AC243" s="83"/>
      <c r="AD243" s="47" t="str">
        <f>IF(AG242&gt;0.005,"July","")</f>
        <v/>
      </c>
      <c r="AE243" s="80">
        <f t="shared" si="240"/>
        <v>0</v>
      </c>
      <c r="AF243" s="80">
        <f t="shared" si="241"/>
        <v>0</v>
      </c>
      <c r="AG243" s="80">
        <f t="shared" si="242"/>
        <v>0</v>
      </c>
      <c r="AH243" s="47"/>
    </row>
    <row r="244" spans="2:34" x14ac:dyDescent="0.25">
      <c r="B244" s="72">
        <v>188</v>
      </c>
      <c r="C244" s="47" t="str">
        <f>IF(F243&gt;0.005,"August","")</f>
        <v>August</v>
      </c>
      <c r="D244" s="80">
        <f t="shared" si="243"/>
        <v>11017.3</v>
      </c>
      <c r="E244" s="80">
        <f t="shared" si="231"/>
        <v>13625.816926226871</v>
      </c>
      <c r="F244" s="80">
        <f t="shared" si="232"/>
        <v>3210950.3747955798</v>
      </c>
      <c r="G244" s="47"/>
      <c r="I244" s="81">
        <f t="shared" si="233"/>
        <v>106.97395710066898</v>
      </c>
      <c r="J244" s="82">
        <f t="shared" si="234"/>
        <v>4.0999999999999999E-4</v>
      </c>
      <c r="K244" s="81"/>
      <c r="L244" s="81">
        <f t="shared" si="235"/>
        <v>3130945.0858732383</v>
      </c>
      <c r="M244" s="83">
        <f t="shared" si="230"/>
        <v>18257.019438098167</v>
      </c>
      <c r="N244" s="84"/>
      <c r="O244" s="72">
        <v>188</v>
      </c>
      <c r="P244" s="47" t="str">
        <f>IF(S243&gt;0.005,"August","")</f>
        <v/>
      </c>
      <c r="Q244" s="80">
        <f t="shared" si="244"/>
        <v>0</v>
      </c>
      <c r="R244" s="80">
        <f t="shared" si="236"/>
        <v>0</v>
      </c>
      <c r="S244" s="80">
        <f t="shared" si="237"/>
        <v>0</v>
      </c>
      <c r="T244" s="47"/>
      <c r="U244" s="84"/>
      <c r="V244" s="72">
        <v>188</v>
      </c>
      <c r="W244" s="47" t="e">
        <f>IF(Z243&gt;0.005,"August","")</f>
        <v>#NAME?</v>
      </c>
      <c r="X244" s="80" t="e">
        <f t="shared" si="238"/>
        <v>#NAME?</v>
      </c>
      <c r="Y244" s="80"/>
      <c r="Z244" s="80" t="e">
        <f t="shared" si="239"/>
        <v>#NAME?</v>
      </c>
      <c r="AA244" s="47"/>
      <c r="AB244" s="84"/>
      <c r="AC244" s="83"/>
      <c r="AD244" s="47" t="str">
        <f>IF(AG243&gt;0.005,"August","")</f>
        <v/>
      </c>
      <c r="AE244" s="80">
        <f t="shared" si="240"/>
        <v>0</v>
      </c>
      <c r="AF244" s="80">
        <f t="shared" si="241"/>
        <v>0</v>
      </c>
      <c r="AG244" s="80">
        <f t="shared" si="242"/>
        <v>0</v>
      </c>
      <c r="AH244" s="47"/>
    </row>
    <row r="245" spans="2:34" x14ac:dyDescent="0.25">
      <c r="B245" s="72">
        <v>189</v>
      </c>
      <c r="C245" s="47" t="str">
        <f>IF(F244&gt;0.005,"September","")</f>
        <v>September</v>
      </c>
      <c r="D245" s="80">
        <f t="shared" si="243"/>
        <v>10970.75</v>
      </c>
      <c r="E245" s="80">
        <f t="shared" si="231"/>
        <v>13672.36692622687</v>
      </c>
      <c r="F245" s="80">
        <f t="shared" si="232"/>
        <v>3197278.0078693531</v>
      </c>
      <c r="G245" s="47"/>
      <c r="I245" s="81">
        <f t="shared" si="233"/>
        <v>106.97395710066898</v>
      </c>
      <c r="J245" s="82">
        <f t="shared" si="234"/>
        <v>4.0999999999999999E-4</v>
      </c>
      <c r="K245" s="81"/>
      <c r="L245" s="81">
        <f t="shared" si="235"/>
        <v>3130945.0858732383</v>
      </c>
      <c r="M245" s="83">
        <f t="shared" si="230"/>
        <v>18363.472233367069</v>
      </c>
      <c r="N245" s="84"/>
      <c r="O245" s="72">
        <v>189</v>
      </c>
      <c r="P245" s="47" t="str">
        <f>IF(S244&gt;0.005,"September","")</f>
        <v/>
      </c>
      <c r="Q245" s="80">
        <f t="shared" si="244"/>
        <v>0</v>
      </c>
      <c r="R245" s="80">
        <f t="shared" si="236"/>
        <v>0</v>
      </c>
      <c r="S245" s="80">
        <f t="shared" si="237"/>
        <v>0</v>
      </c>
      <c r="T245" s="47"/>
      <c r="U245" s="84"/>
      <c r="V245" s="72">
        <v>189</v>
      </c>
      <c r="W245" s="47" t="e">
        <f>IF(Z244&gt;0.005,"September","")</f>
        <v>#NAME?</v>
      </c>
      <c r="X245" s="80" t="e">
        <f t="shared" si="238"/>
        <v>#NAME?</v>
      </c>
      <c r="Y245" s="80"/>
      <c r="Z245" s="80" t="e">
        <f t="shared" si="239"/>
        <v>#NAME?</v>
      </c>
      <c r="AA245" s="47"/>
      <c r="AB245" s="84"/>
      <c r="AC245" s="83"/>
      <c r="AD245" s="47" t="str">
        <f>IF(AG244&gt;0.005,"September","")</f>
        <v/>
      </c>
      <c r="AE245" s="80">
        <f t="shared" si="240"/>
        <v>0</v>
      </c>
      <c r="AF245" s="80">
        <f t="shared" si="241"/>
        <v>0</v>
      </c>
      <c r="AG245" s="80">
        <f t="shared" si="242"/>
        <v>0</v>
      </c>
      <c r="AH245" s="47"/>
    </row>
    <row r="246" spans="2:34" x14ac:dyDescent="0.25">
      <c r="B246" s="72">
        <v>190</v>
      </c>
      <c r="C246" s="47" t="str">
        <f>IF(F245&gt;0.005,"October","")</f>
        <v>October</v>
      </c>
      <c r="D246" s="80">
        <f t="shared" si="243"/>
        <v>10924.03</v>
      </c>
      <c r="E246" s="80">
        <f t="shared" si="231"/>
        <v>13719.08692622687</v>
      </c>
      <c r="F246" s="80">
        <f t="shared" si="232"/>
        <v>3183558.9209431261</v>
      </c>
      <c r="G246" s="47"/>
      <c r="I246" s="81">
        <f t="shared" si="233"/>
        <v>106.97395710066898</v>
      </c>
      <c r="J246" s="82">
        <f t="shared" si="234"/>
        <v>4.0999999999999999E-4</v>
      </c>
      <c r="K246" s="81"/>
      <c r="L246" s="81">
        <f t="shared" si="235"/>
        <v>3130945.0858732383</v>
      </c>
      <c r="M246" s="83">
        <f t="shared" si="230"/>
        <v>18471.177418045871</v>
      </c>
      <c r="N246" s="84"/>
      <c r="O246" s="72">
        <v>190</v>
      </c>
      <c r="P246" s="47" t="str">
        <f>IF(S245&gt;0.005,"October","")</f>
        <v/>
      </c>
      <c r="Q246" s="80">
        <f t="shared" si="244"/>
        <v>0</v>
      </c>
      <c r="R246" s="80">
        <f t="shared" si="236"/>
        <v>0</v>
      </c>
      <c r="S246" s="80">
        <f t="shared" si="237"/>
        <v>0</v>
      </c>
      <c r="T246" s="47"/>
      <c r="U246" s="84"/>
      <c r="V246" s="72">
        <v>190</v>
      </c>
      <c r="W246" s="47" t="e">
        <f>IF(Z245&gt;0.005,"October","")</f>
        <v>#NAME?</v>
      </c>
      <c r="X246" s="80" t="e">
        <f t="shared" si="238"/>
        <v>#NAME?</v>
      </c>
      <c r="Y246" s="80"/>
      <c r="Z246" s="80" t="e">
        <f t="shared" si="239"/>
        <v>#NAME?</v>
      </c>
      <c r="AA246" s="47"/>
      <c r="AB246" s="84"/>
      <c r="AC246" s="83"/>
      <c r="AD246" s="47" t="str">
        <f>IF(AG245&gt;0.005,"October","")</f>
        <v/>
      </c>
      <c r="AE246" s="80">
        <f t="shared" si="240"/>
        <v>0</v>
      </c>
      <c r="AF246" s="80">
        <f t="shared" si="241"/>
        <v>0</v>
      </c>
      <c r="AG246" s="80">
        <f t="shared" si="242"/>
        <v>0</v>
      </c>
      <c r="AH246" s="47"/>
    </row>
    <row r="247" spans="2:34" x14ac:dyDescent="0.25">
      <c r="B247" s="72">
        <v>191</v>
      </c>
      <c r="C247" s="47" t="str">
        <f>IF(F246&gt;0.005,"November","")</f>
        <v>November</v>
      </c>
      <c r="D247" s="80">
        <f t="shared" si="243"/>
        <v>10877.16</v>
      </c>
      <c r="E247" s="80">
        <f t="shared" si="231"/>
        <v>13765.956926226871</v>
      </c>
      <c r="F247" s="80">
        <f t="shared" si="232"/>
        <v>3169792.964016899</v>
      </c>
      <c r="G247" s="47"/>
      <c r="I247" s="81">
        <f t="shared" si="233"/>
        <v>106.97395710066898</v>
      </c>
      <c r="J247" s="82">
        <f t="shared" si="234"/>
        <v>4.0999999999999999E-4</v>
      </c>
      <c r="K247" s="81"/>
      <c r="L247" s="81">
        <f t="shared" si="235"/>
        <v>3130945.0858732383</v>
      </c>
      <c r="M247" s="83">
        <f t="shared" si="230"/>
        <v>18580.157223899241</v>
      </c>
      <c r="N247" s="84"/>
      <c r="O247" s="72">
        <v>191</v>
      </c>
      <c r="P247" s="47" t="str">
        <f>IF(S246&gt;0.005,"November","")</f>
        <v/>
      </c>
      <c r="Q247" s="80">
        <f t="shared" si="244"/>
        <v>0</v>
      </c>
      <c r="R247" s="80">
        <f t="shared" si="236"/>
        <v>0</v>
      </c>
      <c r="S247" s="80">
        <f t="shared" si="237"/>
        <v>0</v>
      </c>
      <c r="T247" s="47"/>
      <c r="U247" s="84"/>
      <c r="V247" s="72">
        <v>191</v>
      </c>
      <c r="W247" s="47" t="e">
        <f>IF(Z246&gt;0.005,"November","")</f>
        <v>#NAME?</v>
      </c>
      <c r="X247" s="80" t="e">
        <f t="shared" si="238"/>
        <v>#NAME?</v>
      </c>
      <c r="Y247" s="80"/>
      <c r="Z247" s="80" t="e">
        <f t="shared" si="239"/>
        <v>#NAME?</v>
      </c>
      <c r="AA247" s="47"/>
      <c r="AB247" s="84"/>
      <c r="AC247" s="83"/>
      <c r="AD247" s="47" t="str">
        <f>IF(AG246&gt;0.005,"November","")</f>
        <v/>
      </c>
      <c r="AE247" s="80">
        <f t="shared" si="240"/>
        <v>0</v>
      </c>
      <c r="AF247" s="80">
        <f t="shared" si="241"/>
        <v>0</v>
      </c>
      <c r="AG247" s="80">
        <f t="shared" si="242"/>
        <v>0</v>
      </c>
      <c r="AH247" s="47"/>
    </row>
    <row r="248" spans="2:34" x14ac:dyDescent="0.25">
      <c r="B248" s="72">
        <v>192</v>
      </c>
      <c r="C248" s="47" t="str">
        <f>IF(F247&gt;0.005,"December","")</f>
        <v>December</v>
      </c>
      <c r="D248" s="80">
        <f>IF(F247&gt;0,ROUND(F247*($F$6/12),2),0)</f>
        <v>10830.13</v>
      </c>
      <c r="E248" s="80">
        <f t="shared" si="231"/>
        <v>13812.986926226871</v>
      </c>
      <c r="F248" s="80">
        <f t="shared" si="232"/>
        <v>3155979.9770906721</v>
      </c>
      <c r="G248" s="47"/>
      <c r="I248" s="81">
        <f t="shared" si="233"/>
        <v>106.97395710066898</v>
      </c>
      <c r="J248" s="82">
        <f t="shared" si="234"/>
        <v>4.0999999999999999E-4</v>
      </c>
      <c r="K248" s="81"/>
      <c r="L248" s="81">
        <f t="shared" si="235"/>
        <v>3130945.0858732383</v>
      </c>
      <c r="M248" s="83">
        <f t="shared" si="230"/>
        <v>18690.434412019589</v>
      </c>
      <c r="N248" s="84"/>
      <c r="O248" s="72">
        <v>192</v>
      </c>
      <c r="P248" s="47" t="str">
        <f>IF(S247&gt;0.005,"December","")</f>
        <v/>
      </c>
      <c r="Q248" s="80">
        <f t="shared" si="244"/>
        <v>0</v>
      </c>
      <c r="R248" s="80">
        <f t="shared" si="236"/>
        <v>0</v>
      </c>
      <c r="S248" s="80">
        <f t="shared" si="237"/>
        <v>0</v>
      </c>
      <c r="T248" s="47"/>
      <c r="U248" s="84"/>
      <c r="V248" s="72">
        <v>192</v>
      </c>
      <c r="W248" s="47" t="e">
        <f>IF(Z247&gt;0.005,"December","")</f>
        <v>#NAME?</v>
      </c>
      <c r="X248" s="80" t="e">
        <f t="shared" si="238"/>
        <v>#NAME?</v>
      </c>
      <c r="Y248" s="80"/>
      <c r="Z248" s="80" t="e">
        <f t="shared" si="239"/>
        <v>#NAME?</v>
      </c>
      <c r="AA248" s="47"/>
      <c r="AB248" s="84"/>
      <c r="AC248" s="83"/>
      <c r="AD248" s="47" t="str">
        <f>IF(AG247&gt;0.005,"December","")</f>
        <v/>
      </c>
      <c r="AE248" s="80">
        <f t="shared" si="240"/>
        <v>0</v>
      </c>
      <c r="AF248" s="80">
        <f t="shared" si="241"/>
        <v>0</v>
      </c>
      <c r="AG248" s="80">
        <f t="shared" si="242"/>
        <v>0</v>
      </c>
      <c r="AH248" s="47"/>
    </row>
    <row r="249" spans="2:34" x14ac:dyDescent="0.25">
      <c r="B249" s="46"/>
      <c r="C249" s="85" t="str">
        <f>"Total "&amp;YEAR($C$9)+15</f>
        <v>Total 2034</v>
      </c>
      <c r="D249" s="86">
        <f>SUM(D237:D248)</f>
        <v>133030.78</v>
      </c>
      <c r="E249" s="86">
        <f>SUM(E237:E248)</f>
        <v>162686.62311472246</v>
      </c>
      <c r="F249" s="87"/>
      <c r="G249" s="47"/>
      <c r="I249" s="86">
        <f>SUM(I237:I248)</f>
        <v>1283.6874852080275</v>
      </c>
      <c r="J249" s="46"/>
      <c r="K249" s="86">
        <f>SUM(K237:K248)</f>
        <v>0</v>
      </c>
      <c r="L249" s="46"/>
      <c r="M249" s="46"/>
      <c r="O249" s="46"/>
      <c r="P249" s="85" t="str">
        <f>"Total "&amp;YEAR($C$9)+15</f>
        <v>Total 2034</v>
      </c>
      <c r="Q249" s="86">
        <f>SUM(Q237:Q248)</f>
        <v>0</v>
      </c>
      <c r="R249" s="86">
        <f>SUM(R237:R248)</f>
        <v>0</v>
      </c>
      <c r="S249" s="87"/>
      <c r="T249" s="47"/>
      <c r="V249" s="46"/>
      <c r="W249" s="85" t="str">
        <f>"Total "&amp;YEAR($C$9)+15</f>
        <v>Total 2034</v>
      </c>
      <c r="X249" s="86" t="e">
        <f>SUM(X237:X248)</f>
        <v>#NAME?</v>
      </c>
      <c r="Y249" s="86">
        <f>SUM(Y237:Y248)</f>
        <v>0</v>
      </c>
      <c r="Z249" s="87"/>
      <c r="AA249" s="47"/>
      <c r="AC249" s="46"/>
      <c r="AD249" s="85" t="str">
        <f>"Total "&amp;YEAR($C$9)+15</f>
        <v>Total 2034</v>
      </c>
      <c r="AE249" s="86">
        <f>SUM(AE237:AE248)</f>
        <v>0</v>
      </c>
      <c r="AF249" s="86">
        <f>SUM(AF237:AF248)</f>
        <v>0</v>
      </c>
      <c r="AG249" s="87"/>
      <c r="AH249" s="47"/>
    </row>
    <row r="250" spans="2:34" x14ac:dyDescent="0.25">
      <c r="B250" s="46"/>
      <c r="C250" s="47"/>
      <c r="D250" s="80"/>
      <c r="E250" s="80"/>
      <c r="F250" s="80"/>
      <c r="G250" s="47"/>
      <c r="I250" s="46"/>
      <c r="J250" s="46"/>
      <c r="K250" s="46"/>
      <c r="L250" s="46"/>
      <c r="M250" s="46"/>
      <c r="O250" s="46"/>
      <c r="P250" s="47"/>
      <c r="Q250" s="80"/>
      <c r="R250" s="80"/>
      <c r="S250" s="80"/>
      <c r="T250" s="47"/>
      <c r="V250" s="46"/>
      <c r="W250" s="47"/>
      <c r="X250" s="80"/>
      <c r="Y250" s="80"/>
      <c r="Z250" s="80"/>
      <c r="AA250" s="47"/>
      <c r="AC250" s="46"/>
      <c r="AD250" s="47"/>
      <c r="AE250" s="80"/>
      <c r="AF250" s="80"/>
      <c r="AG250" s="80"/>
      <c r="AH250" s="47"/>
    </row>
    <row r="251" spans="2:34" x14ac:dyDescent="0.25">
      <c r="B251" s="46"/>
      <c r="C251" s="47"/>
      <c r="D251" s="75" t="s">
        <v>62</v>
      </c>
      <c r="E251" s="75" t="s">
        <v>63</v>
      </c>
      <c r="F251" s="75" t="s">
        <v>64</v>
      </c>
      <c r="G251" s="47"/>
      <c r="I251" s="46"/>
      <c r="J251" s="46"/>
      <c r="K251" s="46"/>
      <c r="L251" s="46"/>
      <c r="M251" s="46"/>
      <c r="O251" s="46"/>
      <c r="P251" s="47"/>
      <c r="Q251" s="75" t="s">
        <v>62</v>
      </c>
      <c r="R251" s="75" t="s">
        <v>63</v>
      </c>
      <c r="S251" s="75" t="s">
        <v>64</v>
      </c>
      <c r="T251" s="47"/>
      <c r="V251" s="46"/>
      <c r="W251" s="47"/>
      <c r="X251" s="75" t="s">
        <v>62</v>
      </c>
      <c r="Y251" s="75" t="s">
        <v>63</v>
      </c>
      <c r="Z251" s="75" t="s">
        <v>64</v>
      </c>
      <c r="AA251" s="47"/>
      <c r="AC251" s="46"/>
      <c r="AD251" s="47"/>
      <c r="AE251" s="75" t="s">
        <v>62</v>
      </c>
      <c r="AF251" s="75" t="s">
        <v>63</v>
      </c>
      <c r="AG251" s="75" t="s">
        <v>64</v>
      </c>
      <c r="AH251" s="47"/>
    </row>
    <row r="252" spans="2:34" x14ac:dyDescent="0.25">
      <c r="B252" s="72">
        <v>193</v>
      </c>
      <c r="C252" s="47" t="str">
        <f>IF(F248&gt;0.005,"January","")</f>
        <v>January</v>
      </c>
      <c r="D252" s="80">
        <f>IF(F248&gt;0,ROUND(F248*($F$6/12),2),0)</f>
        <v>10782.93</v>
      </c>
      <c r="E252" s="80">
        <f>IF(F248&lt;$D$8,F248,$D$8-D252)</f>
        <v>13860.18692622687</v>
      </c>
      <c r="F252" s="80">
        <f>IF(F248-E252&gt;0,F248-E252,0)</f>
        <v>3142119.7901644451</v>
      </c>
      <c r="G252" s="47"/>
      <c r="I252" s="81">
        <f>L248*J252/12</f>
        <v>106.97395710066898</v>
      </c>
      <c r="J252" s="82">
        <f>$F$6/100</f>
        <v>4.0999999999999999E-4</v>
      </c>
      <c r="K252" s="81"/>
      <c r="L252" s="81">
        <f>MAX(L248+L248*($F$6/100)/12-I252-K252,0)</f>
        <v>3130945.0858732383</v>
      </c>
      <c r="M252" s="83">
        <f t="shared" ref="M252:M263" si="245">-PMT(($F$6/100)/12,$D$7-B252,L252,0,0)</f>
        <v>18802.032288675182</v>
      </c>
      <c r="N252" s="84"/>
      <c r="O252" s="72">
        <v>193</v>
      </c>
      <c r="P252" s="47" t="str">
        <f>IF(S248&gt;0.005,"January","")</f>
        <v/>
      </c>
      <c r="Q252" s="80">
        <f>IF(O252&lt;$S$7,"",IF(O252=$S$7,$Q$6*($S$6/12),S248*($S$6/12)))</f>
        <v>0</v>
      </c>
      <c r="R252" s="80">
        <f>IF(O252&lt;$S$7,"",$Q$8-Q252)</f>
        <v>0</v>
      </c>
      <c r="S252" s="80">
        <f>IF(O252&lt;$S$7,"",IF(O252=$S$7,$Q$6-R252,S248-R252))</f>
        <v>0</v>
      </c>
      <c r="T252" s="47"/>
      <c r="U252" s="84"/>
      <c r="V252" s="72">
        <v>193</v>
      </c>
      <c r="W252" s="47" t="e">
        <f>IF(Z248&gt;0.005,"January","")</f>
        <v>#NAME?</v>
      </c>
      <c r="X252" s="80" t="e">
        <f>IF(V252&lt;$Z$7,"",($Z$6/12)*$X$6)</f>
        <v>#NAME?</v>
      </c>
      <c r="Y252" s="80"/>
      <c r="Z252" s="80" t="e">
        <f>IF(V252&lt;$S$7,"",$X$6)</f>
        <v>#NAME?</v>
      </c>
      <c r="AA252" s="47"/>
      <c r="AB252" s="84"/>
      <c r="AC252" s="83"/>
      <c r="AD252" s="47" t="str">
        <f>IF(AG248&gt;0.005,"January","")</f>
        <v/>
      </c>
      <c r="AE252" s="80">
        <f>IF(AG248&gt;0,ROUND(AG248*($AG$6/1200),2),0)</f>
        <v>0</v>
      </c>
      <c r="AF252" s="80">
        <f>IF(AG248&lt;$AE$8,AG248,$AE$8-AE252)</f>
        <v>0</v>
      </c>
      <c r="AG252" s="80">
        <f>IF(AG248-AF252&gt;0,AG248-AF252,0)</f>
        <v>0</v>
      </c>
      <c r="AH252" s="47"/>
    </row>
    <row r="253" spans="2:34" x14ac:dyDescent="0.25">
      <c r="B253" s="72">
        <v>194</v>
      </c>
      <c r="C253" s="47" t="str">
        <f>IF(F252&gt;0.005,"February","")</f>
        <v>February</v>
      </c>
      <c r="D253" s="80">
        <f>IF(F252&gt;0,ROUND(F252*($F$6/12),2),0)</f>
        <v>10735.58</v>
      </c>
      <c r="E253" s="80">
        <f t="shared" ref="E253:E263" si="246">IF(F252&lt;$D$8,F252,$D$8-D253)</f>
        <v>13907.53692622687</v>
      </c>
      <c r="F253" s="80">
        <f t="shared" ref="F253:F263" si="247">IF(F252-E253&gt;0,F252-E253,0)</f>
        <v>3128212.2532382184</v>
      </c>
      <c r="G253" s="47"/>
      <c r="I253" s="81">
        <f t="shared" ref="I253:I263" si="248">L252*J253/12</f>
        <v>106.97395710066898</v>
      </c>
      <c r="J253" s="82">
        <f t="shared" ref="J253:J263" si="249">$F$6/100</f>
        <v>4.0999999999999999E-4</v>
      </c>
      <c r="K253" s="81"/>
      <c r="L253" s="81">
        <f t="shared" ref="L253:L263" si="250">MAX(L252+L252*($F$6/100)/12-I253-K253,0)</f>
        <v>3130945.0858732383</v>
      </c>
      <c r="M253" s="83">
        <f t="shared" si="245"/>
        <v>18914.974721731105</v>
      </c>
      <c r="N253" s="84"/>
      <c r="O253" s="72">
        <v>194</v>
      </c>
      <c r="P253" s="47" t="str">
        <f>IF(S252&gt;0.005,"February","")</f>
        <v/>
      </c>
      <c r="Q253" s="80">
        <f>IF(O253&lt;$S$7,"",IF(O253=$S$7,$Q$6*($S$6/12),S252*($S$6/12)))</f>
        <v>0</v>
      </c>
      <c r="R253" s="80">
        <f t="shared" ref="R253:R263" si="251">IF(O253&lt;$S$7,"",$Q$8-Q253)</f>
        <v>0</v>
      </c>
      <c r="S253" s="80">
        <f t="shared" ref="S253:S263" si="252">IF(O253&lt;$S$7,"",IF(O253=$S$7,$Q$6-R253,S252-R253))</f>
        <v>0</v>
      </c>
      <c r="T253" s="47"/>
      <c r="U253" s="84"/>
      <c r="V253" s="72">
        <v>194</v>
      </c>
      <c r="W253" s="47" t="e">
        <f>IF(Z252&gt;0.005,"February","")</f>
        <v>#NAME?</v>
      </c>
      <c r="X253" s="80" t="e">
        <f t="shared" ref="X253:X263" si="253">IF(V253&lt;$Z$7,"",($Z$6/12)*$X$6)</f>
        <v>#NAME?</v>
      </c>
      <c r="Y253" s="80"/>
      <c r="Z253" s="80" t="e">
        <f t="shared" ref="Z253:Z263" si="254">IF(V253&lt;$S$7,"",$X$6)</f>
        <v>#NAME?</v>
      </c>
      <c r="AA253" s="47"/>
      <c r="AB253" s="84"/>
      <c r="AC253" s="83"/>
      <c r="AD253" s="47" t="str">
        <f>IF(AG252&gt;0.005,"February","")</f>
        <v/>
      </c>
      <c r="AE253" s="80">
        <f t="shared" ref="AE253:AE263" si="255">IF(AG252&gt;0,ROUND(AG252*($AG$6/1200),2),0)</f>
        <v>0</v>
      </c>
      <c r="AF253" s="80">
        <f t="shared" ref="AF253:AF263" si="256">IF(AG252&lt;$AE$8,AG252,$AE$8-AE253)</f>
        <v>0</v>
      </c>
      <c r="AG253" s="80">
        <f t="shared" ref="AG253:AG263" si="257">IF(AG252-AF253&gt;0,AG252-AF253,0)</f>
        <v>0</v>
      </c>
      <c r="AH253" s="47"/>
    </row>
    <row r="254" spans="2:34" x14ac:dyDescent="0.25">
      <c r="B254" s="72">
        <v>195</v>
      </c>
      <c r="C254" s="47" t="str">
        <f>IF(F253&gt;0.005,"March","")</f>
        <v>March</v>
      </c>
      <c r="D254" s="80">
        <f t="shared" ref="D254:D262" si="258">IF(F253&gt;0,ROUND(F253*($F$6/12),2),0)</f>
        <v>10688.06</v>
      </c>
      <c r="E254" s="80">
        <f t="shared" si="246"/>
        <v>13955.056926226871</v>
      </c>
      <c r="F254" s="80">
        <f t="shared" si="247"/>
        <v>3114257.1963119917</v>
      </c>
      <c r="G254" s="47"/>
      <c r="I254" s="81">
        <f t="shared" si="248"/>
        <v>106.97395710066898</v>
      </c>
      <c r="J254" s="82">
        <f t="shared" si="249"/>
        <v>4.0999999999999999E-4</v>
      </c>
      <c r="K254" s="81"/>
      <c r="L254" s="81">
        <f t="shared" si="250"/>
        <v>3130945.0858732383</v>
      </c>
      <c r="M254" s="83">
        <f t="shared" si="245"/>
        <v>19029.286157667371</v>
      </c>
      <c r="N254" s="84"/>
      <c r="O254" s="72">
        <v>195</v>
      </c>
      <c r="P254" s="47" t="str">
        <f>IF(S253&gt;0.005,"March","")</f>
        <v/>
      </c>
      <c r="Q254" s="80">
        <f t="shared" ref="Q254:Q263" si="259">IF(O254&lt;$S$7,"",IF(O254=$S$7,$Q$6*($S$6/12),S253*($S$6/12)))</f>
        <v>0</v>
      </c>
      <c r="R254" s="80">
        <f t="shared" si="251"/>
        <v>0</v>
      </c>
      <c r="S254" s="80">
        <f t="shared" si="252"/>
        <v>0</v>
      </c>
      <c r="T254" s="47"/>
      <c r="U254" s="84"/>
      <c r="V254" s="72">
        <v>195</v>
      </c>
      <c r="W254" s="47" t="e">
        <f>IF(Z253&gt;0.005,"March","")</f>
        <v>#NAME?</v>
      </c>
      <c r="X254" s="80" t="e">
        <f t="shared" si="253"/>
        <v>#NAME?</v>
      </c>
      <c r="Y254" s="80"/>
      <c r="Z254" s="80" t="e">
        <f t="shared" si="254"/>
        <v>#NAME?</v>
      </c>
      <c r="AA254" s="47"/>
      <c r="AB254" s="84"/>
      <c r="AC254" s="83"/>
      <c r="AD254" s="47" t="str">
        <f>IF(AG253&gt;0.005,"March","")</f>
        <v/>
      </c>
      <c r="AE254" s="80">
        <f t="shared" si="255"/>
        <v>0</v>
      </c>
      <c r="AF254" s="80">
        <f t="shared" si="256"/>
        <v>0</v>
      </c>
      <c r="AG254" s="80">
        <f t="shared" si="257"/>
        <v>0</v>
      </c>
      <c r="AH254" s="47"/>
    </row>
    <row r="255" spans="2:34" x14ac:dyDescent="0.25">
      <c r="B255" s="72">
        <v>196</v>
      </c>
      <c r="C255" s="47" t="str">
        <f>IF(F254&gt;0.005,"April","")</f>
        <v>April</v>
      </c>
      <c r="D255" s="80">
        <f t="shared" si="258"/>
        <v>10640.38</v>
      </c>
      <c r="E255" s="80">
        <f t="shared" si="246"/>
        <v>14002.736926226871</v>
      </c>
      <c r="F255" s="80">
        <f t="shared" si="247"/>
        <v>3100254.4593857648</v>
      </c>
      <c r="G255" s="47"/>
      <c r="I255" s="81">
        <f t="shared" si="248"/>
        <v>106.97395710066898</v>
      </c>
      <c r="J255" s="82">
        <f t="shared" si="249"/>
        <v>4.0999999999999999E-4</v>
      </c>
      <c r="K255" s="81"/>
      <c r="L255" s="81">
        <f t="shared" si="250"/>
        <v>3130945.0858732383</v>
      </c>
      <c r="M255" s="83">
        <f t="shared" si="245"/>
        <v>19144.99163921961</v>
      </c>
      <c r="N255" s="84"/>
      <c r="O255" s="72">
        <v>196</v>
      </c>
      <c r="P255" s="47" t="str">
        <f>IF(S254&gt;0.005,"April","")</f>
        <v/>
      </c>
      <c r="Q255" s="80">
        <f t="shared" si="259"/>
        <v>0</v>
      </c>
      <c r="R255" s="80">
        <f t="shared" si="251"/>
        <v>0</v>
      </c>
      <c r="S255" s="80">
        <f t="shared" si="252"/>
        <v>0</v>
      </c>
      <c r="T255" s="47"/>
      <c r="U255" s="84"/>
      <c r="V255" s="72">
        <v>196</v>
      </c>
      <c r="W255" s="47" t="e">
        <f>IF(Z254&gt;0.005,"April","")</f>
        <v>#NAME?</v>
      </c>
      <c r="X255" s="80" t="e">
        <f t="shared" si="253"/>
        <v>#NAME?</v>
      </c>
      <c r="Y255" s="80"/>
      <c r="Z255" s="80" t="e">
        <f t="shared" si="254"/>
        <v>#NAME?</v>
      </c>
      <c r="AA255" s="47"/>
      <c r="AB255" s="84"/>
      <c r="AC255" s="83"/>
      <c r="AD255" s="47" t="str">
        <f>IF(AG254&gt;0.005,"April","")</f>
        <v/>
      </c>
      <c r="AE255" s="80">
        <f t="shared" si="255"/>
        <v>0</v>
      </c>
      <c r="AF255" s="80">
        <f t="shared" si="256"/>
        <v>0</v>
      </c>
      <c r="AG255" s="80">
        <f t="shared" si="257"/>
        <v>0</v>
      </c>
      <c r="AH255" s="47"/>
    </row>
    <row r="256" spans="2:34" x14ac:dyDescent="0.25">
      <c r="B256" s="72">
        <v>197</v>
      </c>
      <c r="C256" s="47" t="str">
        <f>IF(F255&gt;0.005,"May","")</f>
        <v>May</v>
      </c>
      <c r="D256" s="80">
        <f t="shared" si="258"/>
        <v>10592.54</v>
      </c>
      <c r="E256" s="80">
        <f t="shared" si="246"/>
        <v>14050.57692622687</v>
      </c>
      <c r="F256" s="80">
        <f t="shared" si="247"/>
        <v>3086203.8824595381</v>
      </c>
      <c r="G256" s="47"/>
      <c r="I256" s="81">
        <f t="shared" si="248"/>
        <v>106.97395710066898</v>
      </c>
      <c r="J256" s="82">
        <f t="shared" si="249"/>
        <v>4.0999999999999999E-4</v>
      </c>
      <c r="K256" s="81"/>
      <c r="L256" s="81">
        <f t="shared" si="250"/>
        <v>3130945.0858732383</v>
      </c>
      <c r="M256" s="83">
        <f t="shared" si="245"/>
        <v>19262.116823669072</v>
      </c>
      <c r="N256" s="84"/>
      <c r="O256" s="72">
        <v>197</v>
      </c>
      <c r="P256" s="47" t="str">
        <f>IF(S255&gt;0.005,"May","")</f>
        <v/>
      </c>
      <c r="Q256" s="80">
        <f t="shared" si="259"/>
        <v>0</v>
      </c>
      <c r="R256" s="80">
        <f t="shared" si="251"/>
        <v>0</v>
      </c>
      <c r="S256" s="80">
        <f t="shared" si="252"/>
        <v>0</v>
      </c>
      <c r="T256" s="47"/>
      <c r="U256" s="84"/>
      <c r="V256" s="72">
        <v>197</v>
      </c>
      <c r="W256" s="47" t="e">
        <f>IF(Z255&gt;0.005,"May","")</f>
        <v>#NAME?</v>
      </c>
      <c r="X256" s="80" t="e">
        <f t="shared" si="253"/>
        <v>#NAME?</v>
      </c>
      <c r="Y256" s="80"/>
      <c r="Z256" s="80" t="e">
        <f t="shared" si="254"/>
        <v>#NAME?</v>
      </c>
      <c r="AA256" s="47"/>
      <c r="AB256" s="84"/>
      <c r="AC256" s="83"/>
      <c r="AD256" s="47" t="str">
        <f>IF(AG255&gt;0.005,"May","")</f>
        <v/>
      </c>
      <c r="AE256" s="80">
        <f t="shared" si="255"/>
        <v>0</v>
      </c>
      <c r="AF256" s="80">
        <f t="shared" si="256"/>
        <v>0</v>
      </c>
      <c r="AG256" s="80">
        <f t="shared" si="257"/>
        <v>0</v>
      </c>
      <c r="AH256" s="47"/>
    </row>
    <row r="257" spans="2:34" x14ac:dyDescent="0.25">
      <c r="B257" s="72">
        <v>198</v>
      </c>
      <c r="C257" s="47" t="str">
        <f>IF(F256&gt;0.005,"June","")</f>
        <v>June</v>
      </c>
      <c r="D257" s="80">
        <f t="shared" si="258"/>
        <v>10544.53</v>
      </c>
      <c r="E257" s="80">
        <f t="shared" si="246"/>
        <v>14098.58692622687</v>
      </c>
      <c r="F257" s="80">
        <f t="shared" si="247"/>
        <v>3072105.2955333111</v>
      </c>
      <c r="G257" s="47"/>
      <c r="I257" s="81">
        <f t="shared" si="248"/>
        <v>106.97395710066898</v>
      </c>
      <c r="J257" s="82">
        <f t="shared" si="249"/>
        <v>4.0999999999999999E-4</v>
      </c>
      <c r="K257" s="81"/>
      <c r="L257" s="81">
        <f t="shared" si="250"/>
        <v>3130945.0858732383</v>
      </c>
      <c r="M257" s="83">
        <f t="shared" si="245"/>
        <v>19380.688001810162</v>
      </c>
      <c r="N257" s="84"/>
      <c r="O257" s="72">
        <v>198</v>
      </c>
      <c r="P257" s="47" t="str">
        <f>IF(S256&gt;0.005,"June","")</f>
        <v/>
      </c>
      <c r="Q257" s="80">
        <f t="shared" si="259"/>
        <v>0</v>
      </c>
      <c r="R257" s="80">
        <f t="shared" si="251"/>
        <v>0</v>
      </c>
      <c r="S257" s="80">
        <f t="shared" si="252"/>
        <v>0</v>
      </c>
      <c r="T257" s="47"/>
      <c r="U257" s="84"/>
      <c r="V257" s="72">
        <v>198</v>
      </c>
      <c r="W257" s="47" t="e">
        <f>IF(Z256&gt;0.005,"June","")</f>
        <v>#NAME?</v>
      </c>
      <c r="X257" s="80" t="e">
        <f t="shared" si="253"/>
        <v>#NAME?</v>
      </c>
      <c r="Y257" s="80"/>
      <c r="Z257" s="80" t="e">
        <f t="shared" si="254"/>
        <v>#NAME?</v>
      </c>
      <c r="AA257" s="47"/>
      <c r="AB257" s="84"/>
      <c r="AC257" s="83"/>
      <c r="AD257" s="47" t="str">
        <f>IF(AG256&gt;0.005,"June","")</f>
        <v/>
      </c>
      <c r="AE257" s="80">
        <f t="shared" si="255"/>
        <v>0</v>
      </c>
      <c r="AF257" s="80">
        <f t="shared" si="256"/>
        <v>0</v>
      </c>
      <c r="AG257" s="80">
        <f t="shared" si="257"/>
        <v>0</v>
      </c>
      <c r="AH257" s="47"/>
    </row>
    <row r="258" spans="2:34" x14ac:dyDescent="0.25">
      <c r="B258" s="72">
        <v>199</v>
      </c>
      <c r="C258" s="47" t="str">
        <f>IF(F257&gt;0.005,"July","")</f>
        <v>July</v>
      </c>
      <c r="D258" s="80">
        <f t="shared" si="258"/>
        <v>10496.36</v>
      </c>
      <c r="E258" s="80">
        <f t="shared" si="246"/>
        <v>14146.75692622687</v>
      </c>
      <c r="F258" s="80">
        <f t="shared" si="247"/>
        <v>3057958.5386070842</v>
      </c>
      <c r="G258" s="47"/>
      <c r="I258" s="81">
        <f t="shared" si="248"/>
        <v>106.97395710066898</v>
      </c>
      <c r="J258" s="82">
        <f t="shared" si="249"/>
        <v>4.0999999999999999E-4</v>
      </c>
      <c r="K258" s="81"/>
      <c r="L258" s="81">
        <f t="shared" si="250"/>
        <v>3130945.0858732383</v>
      </c>
      <c r="M258" s="83">
        <f t="shared" si="245"/>
        <v>19500.732117624721</v>
      </c>
      <c r="N258" s="84"/>
      <c r="O258" s="72">
        <v>199</v>
      </c>
      <c r="P258" s="47" t="str">
        <f>IF(S257&gt;0.005,"July","")</f>
        <v/>
      </c>
      <c r="Q258" s="80">
        <f t="shared" si="259"/>
        <v>0</v>
      </c>
      <c r="R258" s="80">
        <f t="shared" si="251"/>
        <v>0</v>
      </c>
      <c r="S258" s="80">
        <f t="shared" si="252"/>
        <v>0</v>
      </c>
      <c r="T258" s="47"/>
      <c r="U258" s="84"/>
      <c r="V258" s="72">
        <v>199</v>
      </c>
      <c r="W258" s="47" t="e">
        <f>IF(Z257&gt;0.005,"July","")</f>
        <v>#NAME?</v>
      </c>
      <c r="X258" s="80" t="e">
        <f t="shared" si="253"/>
        <v>#NAME?</v>
      </c>
      <c r="Y258" s="80"/>
      <c r="Z258" s="80" t="e">
        <f t="shared" si="254"/>
        <v>#NAME?</v>
      </c>
      <c r="AA258" s="47"/>
      <c r="AB258" s="84"/>
      <c r="AC258" s="83"/>
      <c r="AD258" s="47" t="str">
        <f>IF(AG257&gt;0.005,"July","")</f>
        <v/>
      </c>
      <c r="AE258" s="80">
        <f t="shared" si="255"/>
        <v>0</v>
      </c>
      <c r="AF258" s="80">
        <f t="shared" si="256"/>
        <v>0</v>
      </c>
      <c r="AG258" s="80">
        <f t="shared" si="257"/>
        <v>0</v>
      </c>
      <c r="AH258" s="47"/>
    </row>
    <row r="259" spans="2:34" x14ac:dyDescent="0.25">
      <c r="B259" s="72">
        <v>200</v>
      </c>
      <c r="C259" s="47" t="str">
        <f>IF(F258&gt;0.005,"August","")</f>
        <v>August</v>
      </c>
      <c r="D259" s="80">
        <f t="shared" si="258"/>
        <v>10448.030000000001</v>
      </c>
      <c r="E259" s="80">
        <f t="shared" si="246"/>
        <v>14195.08692622687</v>
      </c>
      <c r="F259" s="80">
        <f t="shared" si="247"/>
        <v>3043763.4516808572</v>
      </c>
      <c r="G259" s="47"/>
      <c r="I259" s="81">
        <f t="shared" si="248"/>
        <v>106.97395710066898</v>
      </c>
      <c r="J259" s="82">
        <f t="shared" si="249"/>
        <v>4.0999999999999999E-4</v>
      </c>
      <c r="K259" s="81"/>
      <c r="L259" s="81">
        <f t="shared" si="250"/>
        <v>3130945.0858732383</v>
      </c>
      <c r="M259" s="83">
        <f t="shared" si="245"/>
        <v>19622.276788694118</v>
      </c>
      <c r="N259" s="84"/>
      <c r="O259" s="72">
        <v>200</v>
      </c>
      <c r="P259" s="47" t="str">
        <f>IF(S258&gt;0.005,"August","")</f>
        <v/>
      </c>
      <c r="Q259" s="80">
        <f t="shared" si="259"/>
        <v>0</v>
      </c>
      <c r="R259" s="80">
        <f t="shared" si="251"/>
        <v>0</v>
      </c>
      <c r="S259" s="80">
        <f t="shared" si="252"/>
        <v>0</v>
      </c>
      <c r="T259" s="47"/>
      <c r="U259" s="84"/>
      <c r="V259" s="72">
        <v>200</v>
      </c>
      <c r="W259" s="47" t="e">
        <f>IF(Z258&gt;0.005,"August","")</f>
        <v>#NAME?</v>
      </c>
      <c r="X259" s="80" t="e">
        <f t="shared" si="253"/>
        <v>#NAME?</v>
      </c>
      <c r="Y259" s="80"/>
      <c r="Z259" s="80" t="e">
        <f t="shared" si="254"/>
        <v>#NAME?</v>
      </c>
      <c r="AA259" s="47"/>
      <c r="AB259" s="84"/>
      <c r="AC259" s="83"/>
      <c r="AD259" s="47" t="str">
        <f>IF(AG258&gt;0.005,"August","")</f>
        <v/>
      </c>
      <c r="AE259" s="80">
        <f t="shared" si="255"/>
        <v>0</v>
      </c>
      <c r="AF259" s="80">
        <f t="shared" si="256"/>
        <v>0</v>
      </c>
      <c r="AG259" s="80">
        <f t="shared" si="257"/>
        <v>0</v>
      </c>
      <c r="AH259" s="47"/>
    </row>
    <row r="260" spans="2:34" x14ac:dyDescent="0.25">
      <c r="B260" s="72">
        <v>201</v>
      </c>
      <c r="C260" s="47" t="str">
        <f>IF(F259&gt;0.005,"September","")</f>
        <v>September</v>
      </c>
      <c r="D260" s="80">
        <f t="shared" si="258"/>
        <v>10399.530000000001</v>
      </c>
      <c r="E260" s="80">
        <f t="shared" si="246"/>
        <v>14243.58692622687</v>
      </c>
      <c r="F260" s="80">
        <f t="shared" si="247"/>
        <v>3029519.8647546303</v>
      </c>
      <c r="G260" s="47"/>
      <c r="I260" s="81">
        <f t="shared" si="248"/>
        <v>106.97395710066898</v>
      </c>
      <c r="J260" s="82">
        <f t="shared" si="249"/>
        <v>4.0999999999999999E-4</v>
      </c>
      <c r="K260" s="81"/>
      <c r="L260" s="81">
        <f t="shared" si="250"/>
        <v>3130945.0858732383</v>
      </c>
      <c r="M260" s="83">
        <f t="shared" si="245"/>
        <v>19745.350327381646</v>
      </c>
      <c r="N260" s="84"/>
      <c r="O260" s="72">
        <v>201</v>
      </c>
      <c r="P260" s="47" t="str">
        <f>IF(S259&gt;0.005,"September","")</f>
        <v/>
      </c>
      <c r="Q260" s="80">
        <f t="shared" si="259"/>
        <v>0</v>
      </c>
      <c r="R260" s="80">
        <f t="shared" si="251"/>
        <v>0</v>
      </c>
      <c r="S260" s="80">
        <f t="shared" si="252"/>
        <v>0</v>
      </c>
      <c r="T260" s="47"/>
      <c r="U260" s="84"/>
      <c r="V260" s="72">
        <v>201</v>
      </c>
      <c r="W260" s="47" t="e">
        <f>IF(Z259&gt;0.005,"September","")</f>
        <v>#NAME?</v>
      </c>
      <c r="X260" s="80" t="e">
        <f t="shared" si="253"/>
        <v>#NAME?</v>
      </c>
      <c r="Y260" s="80"/>
      <c r="Z260" s="80" t="e">
        <f t="shared" si="254"/>
        <v>#NAME?</v>
      </c>
      <c r="AA260" s="47"/>
      <c r="AB260" s="84"/>
      <c r="AC260" s="83"/>
      <c r="AD260" s="47" t="str">
        <f>IF(AG259&gt;0.005,"September","")</f>
        <v/>
      </c>
      <c r="AE260" s="80">
        <f t="shared" si="255"/>
        <v>0</v>
      </c>
      <c r="AF260" s="80">
        <f t="shared" si="256"/>
        <v>0</v>
      </c>
      <c r="AG260" s="80">
        <f t="shared" si="257"/>
        <v>0</v>
      </c>
      <c r="AH260" s="47"/>
    </row>
    <row r="261" spans="2:34" x14ac:dyDescent="0.25">
      <c r="B261" s="72">
        <v>202</v>
      </c>
      <c r="C261" s="47" t="str">
        <f>IF(F260&gt;0.005,"October","")</f>
        <v>October</v>
      </c>
      <c r="D261" s="80">
        <f t="shared" si="258"/>
        <v>10350.86</v>
      </c>
      <c r="E261" s="80">
        <f t="shared" si="246"/>
        <v>14292.25692622687</v>
      </c>
      <c r="F261" s="80">
        <f t="shared" si="247"/>
        <v>3015227.6078284034</v>
      </c>
      <c r="G261" s="47"/>
      <c r="I261" s="81">
        <f t="shared" si="248"/>
        <v>106.97395710066898</v>
      </c>
      <c r="J261" s="82">
        <f t="shared" si="249"/>
        <v>4.0999999999999999E-4</v>
      </c>
      <c r="K261" s="81"/>
      <c r="L261" s="81">
        <f t="shared" si="250"/>
        <v>3130945.0858732383</v>
      </c>
      <c r="M261" s="83">
        <f t="shared" si="245"/>
        <v>19869.981762819301</v>
      </c>
      <c r="N261" s="84"/>
      <c r="O261" s="72">
        <v>202</v>
      </c>
      <c r="P261" s="47" t="str">
        <f>IF(S260&gt;0.005,"October","")</f>
        <v/>
      </c>
      <c r="Q261" s="80">
        <f t="shared" si="259"/>
        <v>0</v>
      </c>
      <c r="R261" s="80">
        <f t="shared" si="251"/>
        <v>0</v>
      </c>
      <c r="S261" s="80">
        <f t="shared" si="252"/>
        <v>0</v>
      </c>
      <c r="T261" s="47"/>
      <c r="U261" s="84"/>
      <c r="V261" s="72">
        <v>202</v>
      </c>
      <c r="W261" s="47" t="e">
        <f>IF(Z260&gt;0.005,"October","")</f>
        <v>#NAME?</v>
      </c>
      <c r="X261" s="80" t="e">
        <f t="shared" si="253"/>
        <v>#NAME?</v>
      </c>
      <c r="Y261" s="80"/>
      <c r="Z261" s="80" t="e">
        <f t="shared" si="254"/>
        <v>#NAME?</v>
      </c>
      <c r="AA261" s="47"/>
      <c r="AB261" s="84"/>
      <c r="AC261" s="83"/>
      <c r="AD261" s="47" t="str">
        <f>IF(AG260&gt;0.005,"October","")</f>
        <v/>
      </c>
      <c r="AE261" s="80">
        <f t="shared" si="255"/>
        <v>0</v>
      </c>
      <c r="AF261" s="80">
        <f t="shared" si="256"/>
        <v>0</v>
      </c>
      <c r="AG261" s="80">
        <f t="shared" si="257"/>
        <v>0</v>
      </c>
      <c r="AH261" s="47"/>
    </row>
    <row r="262" spans="2:34" x14ac:dyDescent="0.25">
      <c r="B262" s="72">
        <v>203</v>
      </c>
      <c r="C262" s="47" t="str">
        <f>IF(F261&gt;0.005,"November","")</f>
        <v>November</v>
      </c>
      <c r="D262" s="80">
        <f t="shared" si="258"/>
        <v>10302.030000000001</v>
      </c>
      <c r="E262" s="80">
        <f t="shared" si="246"/>
        <v>14341.08692622687</v>
      </c>
      <c r="F262" s="80">
        <f t="shared" si="247"/>
        <v>3000886.5209021764</v>
      </c>
      <c r="G262" s="47"/>
      <c r="I262" s="81">
        <f t="shared" si="248"/>
        <v>106.97395710066898</v>
      </c>
      <c r="J262" s="82">
        <f t="shared" si="249"/>
        <v>4.0999999999999999E-4</v>
      </c>
      <c r="K262" s="81"/>
      <c r="L262" s="81">
        <f t="shared" si="250"/>
        <v>3130945.0858732383</v>
      </c>
      <c r="M262" s="83">
        <f t="shared" si="245"/>
        <v>19996.200863734804</v>
      </c>
      <c r="N262" s="84"/>
      <c r="O262" s="72">
        <v>203</v>
      </c>
      <c r="P262" s="47" t="str">
        <f>IF(S261&gt;0.005,"November","")</f>
        <v/>
      </c>
      <c r="Q262" s="80">
        <f t="shared" si="259"/>
        <v>0</v>
      </c>
      <c r="R262" s="80">
        <f t="shared" si="251"/>
        <v>0</v>
      </c>
      <c r="S262" s="80">
        <f t="shared" si="252"/>
        <v>0</v>
      </c>
      <c r="T262" s="47"/>
      <c r="U262" s="84"/>
      <c r="V262" s="72">
        <v>203</v>
      </c>
      <c r="W262" s="47" t="e">
        <f>IF(Z261&gt;0.005,"November","")</f>
        <v>#NAME?</v>
      </c>
      <c r="X262" s="80" t="e">
        <f t="shared" si="253"/>
        <v>#NAME?</v>
      </c>
      <c r="Y262" s="80"/>
      <c r="Z262" s="80" t="e">
        <f t="shared" si="254"/>
        <v>#NAME?</v>
      </c>
      <c r="AA262" s="47"/>
      <c r="AB262" s="84"/>
      <c r="AC262" s="83"/>
      <c r="AD262" s="47" t="str">
        <f>IF(AG261&gt;0.005,"November","")</f>
        <v/>
      </c>
      <c r="AE262" s="80">
        <f t="shared" si="255"/>
        <v>0</v>
      </c>
      <c r="AF262" s="80">
        <f t="shared" si="256"/>
        <v>0</v>
      </c>
      <c r="AG262" s="80">
        <f t="shared" si="257"/>
        <v>0</v>
      </c>
      <c r="AH262" s="47"/>
    </row>
    <row r="263" spans="2:34" x14ac:dyDescent="0.25">
      <c r="B263" s="72">
        <v>204</v>
      </c>
      <c r="C263" s="47" t="str">
        <f>IF(F262&gt;0.005,"December","")</f>
        <v>December</v>
      </c>
      <c r="D263" s="80">
        <f>IF(F262&gt;0,ROUND(F262*($F$6/12),2),0)</f>
        <v>10253.030000000001</v>
      </c>
      <c r="E263" s="80">
        <f t="shared" si="246"/>
        <v>14390.08692622687</v>
      </c>
      <c r="F263" s="80">
        <f t="shared" si="247"/>
        <v>2986496.4339759494</v>
      </c>
      <c r="G263" s="47"/>
      <c r="I263" s="81">
        <f t="shared" si="248"/>
        <v>106.97395710066898</v>
      </c>
      <c r="J263" s="82">
        <f t="shared" si="249"/>
        <v>4.0999999999999999E-4</v>
      </c>
      <c r="K263" s="81"/>
      <c r="L263" s="81">
        <f t="shared" si="250"/>
        <v>3130945.0858732383</v>
      </c>
      <c r="M263" s="83">
        <f t="shared" si="245"/>
        <v>20124.038162156558</v>
      </c>
      <c r="N263" s="84"/>
      <c r="O263" s="72">
        <v>204</v>
      </c>
      <c r="P263" s="47" t="str">
        <f>IF(S262&gt;0.005,"December","")</f>
        <v/>
      </c>
      <c r="Q263" s="80">
        <f t="shared" si="259"/>
        <v>0</v>
      </c>
      <c r="R263" s="80">
        <f t="shared" si="251"/>
        <v>0</v>
      </c>
      <c r="S263" s="80">
        <f t="shared" si="252"/>
        <v>0</v>
      </c>
      <c r="T263" s="47"/>
      <c r="U263" s="84"/>
      <c r="V263" s="72">
        <v>204</v>
      </c>
      <c r="W263" s="47" t="e">
        <f>IF(Z262&gt;0.005,"December","")</f>
        <v>#NAME?</v>
      </c>
      <c r="X263" s="80" t="e">
        <f t="shared" si="253"/>
        <v>#NAME?</v>
      </c>
      <c r="Y263" s="80"/>
      <c r="Z263" s="80" t="e">
        <f t="shared" si="254"/>
        <v>#NAME?</v>
      </c>
      <c r="AA263" s="47"/>
      <c r="AB263" s="84"/>
      <c r="AC263" s="83"/>
      <c r="AD263" s="47" t="str">
        <f>IF(AG262&gt;0.005,"December","")</f>
        <v/>
      </c>
      <c r="AE263" s="80">
        <f t="shared" si="255"/>
        <v>0</v>
      </c>
      <c r="AF263" s="80">
        <f t="shared" si="256"/>
        <v>0</v>
      </c>
      <c r="AG263" s="80">
        <f t="shared" si="257"/>
        <v>0</v>
      </c>
      <c r="AH263" s="47"/>
    </row>
    <row r="264" spans="2:34" x14ac:dyDescent="0.25">
      <c r="B264" s="46"/>
      <c r="C264" s="85" t="str">
        <f>"Total "&amp;YEAR($C$9)+16</f>
        <v>Total 2035</v>
      </c>
      <c r="D264" s="86">
        <f>SUM(D252:D263)</f>
        <v>126233.86</v>
      </c>
      <c r="E264" s="86">
        <f>SUM(E252:E263)</f>
        <v>169483.54311472244</v>
      </c>
      <c r="F264" s="87"/>
      <c r="G264" s="47"/>
      <c r="I264" s="86">
        <f>SUM(I252:I263)</f>
        <v>1283.6874852080275</v>
      </c>
      <c r="J264" s="46"/>
      <c r="K264" s="86">
        <f>SUM(K252:K263)</f>
        <v>0</v>
      </c>
      <c r="L264" s="46"/>
      <c r="M264" s="46"/>
      <c r="O264" s="46"/>
      <c r="P264" s="85" t="str">
        <f>"Total "&amp;YEAR($C$9)+16</f>
        <v>Total 2035</v>
      </c>
      <c r="Q264" s="86">
        <f>SUM(Q252:Q263)</f>
        <v>0</v>
      </c>
      <c r="R264" s="86">
        <f>SUM(R252:R263)</f>
        <v>0</v>
      </c>
      <c r="S264" s="87"/>
      <c r="T264" s="47"/>
      <c r="V264" s="46"/>
      <c r="W264" s="85" t="str">
        <f>"Total "&amp;YEAR($C$9)+16</f>
        <v>Total 2035</v>
      </c>
      <c r="X264" s="86" t="e">
        <f>SUM(X252:X263)</f>
        <v>#NAME?</v>
      </c>
      <c r="Y264" s="86">
        <f>SUM(Y252:Y263)</f>
        <v>0</v>
      </c>
      <c r="Z264" s="87"/>
      <c r="AA264" s="47"/>
      <c r="AC264" s="46"/>
      <c r="AD264" s="85" t="str">
        <f>"Total "&amp;YEAR($C$9)+16</f>
        <v>Total 2035</v>
      </c>
      <c r="AE264" s="86">
        <f>SUM(AE252:AE263)</f>
        <v>0</v>
      </c>
      <c r="AF264" s="86">
        <f>SUM(AF252:AF263)</f>
        <v>0</v>
      </c>
      <c r="AG264" s="87"/>
      <c r="AH264" s="47"/>
    </row>
    <row r="265" spans="2:34" x14ac:dyDescent="0.25">
      <c r="B265" s="46"/>
      <c r="C265" s="50"/>
      <c r="D265" s="88"/>
      <c r="E265" s="88"/>
      <c r="F265" s="80"/>
      <c r="G265" s="47"/>
      <c r="I265" s="46"/>
      <c r="J265" s="46"/>
      <c r="K265" s="46"/>
      <c r="L265" s="46"/>
      <c r="M265" s="46"/>
      <c r="O265" s="46"/>
      <c r="P265" s="50"/>
      <c r="Q265" s="88"/>
      <c r="R265" s="88"/>
      <c r="S265" s="80"/>
      <c r="T265" s="47"/>
      <c r="V265" s="46"/>
      <c r="W265" s="50"/>
      <c r="X265" s="88"/>
      <c r="Y265" s="88"/>
      <c r="Z265" s="80"/>
      <c r="AA265" s="47"/>
      <c r="AC265" s="46"/>
      <c r="AD265" s="50"/>
      <c r="AE265" s="88"/>
      <c r="AF265" s="88"/>
      <c r="AG265" s="80"/>
      <c r="AH265" s="47"/>
    </row>
    <row r="266" spans="2:34" x14ac:dyDescent="0.25">
      <c r="B266" s="46"/>
      <c r="C266" s="47"/>
      <c r="D266" s="75" t="s">
        <v>62</v>
      </c>
      <c r="E266" s="75" t="s">
        <v>63</v>
      </c>
      <c r="F266" s="75" t="s">
        <v>64</v>
      </c>
      <c r="G266" s="47"/>
      <c r="I266" s="46"/>
      <c r="J266" s="46"/>
      <c r="K266" s="46"/>
      <c r="L266" s="46"/>
      <c r="M266" s="46"/>
      <c r="O266" s="46"/>
      <c r="P266" s="47"/>
      <c r="Q266" s="75" t="s">
        <v>62</v>
      </c>
      <c r="R266" s="75" t="s">
        <v>63</v>
      </c>
      <c r="S266" s="75" t="s">
        <v>64</v>
      </c>
      <c r="T266" s="47"/>
      <c r="V266" s="46"/>
      <c r="W266" s="47"/>
      <c r="X266" s="75" t="s">
        <v>62</v>
      </c>
      <c r="Y266" s="75" t="s">
        <v>63</v>
      </c>
      <c r="Z266" s="75" t="s">
        <v>64</v>
      </c>
      <c r="AA266" s="47"/>
      <c r="AC266" s="46"/>
      <c r="AD266" s="47"/>
      <c r="AE266" s="75" t="s">
        <v>62</v>
      </c>
      <c r="AF266" s="75" t="s">
        <v>63</v>
      </c>
      <c r="AG266" s="75" t="s">
        <v>64</v>
      </c>
      <c r="AH266" s="47"/>
    </row>
    <row r="267" spans="2:34" x14ac:dyDescent="0.25">
      <c r="B267" s="72">
        <v>205</v>
      </c>
      <c r="C267" s="47" t="str">
        <f>IF(F263&gt;0.005,"January","")</f>
        <v>January</v>
      </c>
      <c r="D267" s="80">
        <f>IF(F263&gt;0,ROUND(F263*($F$6/12),2),0)</f>
        <v>10203.86</v>
      </c>
      <c r="E267" s="80">
        <f>IF(F263&lt;$D$8,F263,$D$8-D267)</f>
        <v>14439.25692622687</v>
      </c>
      <c r="F267" s="80">
        <f>IF(F263-E267&gt;0,F263-E267,0)</f>
        <v>2972057.1770497225</v>
      </c>
      <c r="G267" s="47"/>
      <c r="I267" s="81">
        <f>L263*J267/12</f>
        <v>106.97395710066898</v>
      </c>
      <c r="J267" s="82">
        <f>$F$6/100</f>
        <v>4.0999999999999999E-4</v>
      </c>
      <c r="K267" s="81"/>
      <c r="L267" s="81">
        <f>MAX(L263+L263*($F$6/100)/12-I267-K267,0)</f>
        <v>3130945.0858732383</v>
      </c>
      <c r="M267" s="83">
        <f t="shared" ref="M267:M278" si="260">-PMT(($F$6/100)/12,$D$7-B267,L267,0,0)</f>
        <v>20253.524978036297</v>
      </c>
      <c r="N267" s="84"/>
      <c r="O267" s="72">
        <v>205</v>
      </c>
      <c r="P267" s="47" t="str">
        <f>IF(S263&gt;0.005,"January","")</f>
        <v/>
      </c>
      <c r="Q267" s="80">
        <f>IF(O267&lt;$S$7,"",IF(O267=$S$7,$Q$6*($S$6/12),S263*($S$6/12)))</f>
        <v>0</v>
      </c>
      <c r="R267" s="80">
        <f>IF(O267&lt;$S$7,"",$Q$8-Q267)</f>
        <v>0</v>
      </c>
      <c r="S267" s="80">
        <f>IF(O267&lt;$S$7,"",IF(O267=$S$7,$Q$6-R267,S263-R267))</f>
        <v>0</v>
      </c>
      <c r="T267" s="47"/>
      <c r="U267" s="84"/>
      <c r="V267" s="72">
        <v>205</v>
      </c>
      <c r="W267" s="47" t="e">
        <f>IF(Z263&gt;0.005,"January","")</f>
        <v>#NAME?</v>
      </c>
      <c r="X267" s="80" t="e">
        <f>IF(V267&lt;$Z$7,"",($Z$6/12)*$X$6)</f>
        <v>#NAME?</v>
      </c>
      <c r="Y267" s="80"/>
      <c r="Z267" s="80" t="e">
        <f>IF(V267&lt;$S$7,"",$X$6)</f>
        <v>#NAME?</v>
      </c>
      <c r="AA267" s="47"/>
      <c r="AB267" s="84"/>
      <c r="AC267" s="83"/>
      <c r="AD267" s="47" t="str">
        <f>IF(AG263&gt;0.005,"January","")</f>
        <v/>
      </c>
      <c r="AE267" s="80">
        <f>IF(AG263&gt;0,ROUND(AG263*($AG$6/1200),2),0)</f>
        <v>0</v>
      </c>
      <c r="AF267" s="80">
        <f>IF(AG263&lt;$AE$8,AG263,$AE$8-AE267)</f>
        <v>0</v>
      </c>
      <c r="AG267" s="80">
        <f>IF(AG263-AF267&gt;0,AG263-AF267,0)</f>
        <v>0</v>
      </c>
      <c r="AH267" s="47"/>
    </row>
    <row r="268" spans="2:34" x14ac:dyDescent="0.25">
      <c r="B268" s="72">
        <v>206</v>
      </c>
      <c r="C268" s="47" t="str">
        <f>IF(F267&gt;0.005,"February","")</f>
        <v>February</v>
      </c>
      <c r="D268" s="80">
        <f>IF(F267&gt;0,ROUND(F267*($F$6/12),2),0)</f>
        <v>10154.530000000001</v>
      </c>
      <c r="E268" s="80">
        <f t="shared" ref="E268:E278" si="261">IF(F267&lt;$D$8,F267,$D$8-D268)</f>
        <v>14488.58692622687</v>
      </c>
      <c r="F268" s="80">
        <f t="shared" ref="F268:F278" si="262">IF(F267-E268&gt;0,F267-E268,0)</f>
        <v>2957568.5901234956</v>
      </c>
      <c r="G268" s="47"/>
      <c r="I268" s="81">
        <f t="shared" ref="I268:I278" si="263">L267*J268/12</f>
        <v>106.97395710066898</v>
      </c>
      <c r="J268" s="82">
        <f t="shared" ref="J268:J278" si="264">$F$6/100</f>
        <v>4.0999999999999999E-4</v>
      </c>
      <c r="K268" s="81"/>
      <c r="L268" s="81">
        <f t="shared" ref="L268:L278" si="265">MAX(L267+L267*($F$6/100)/12-I268-K268,0)</f>
        <v>3130945.0858732383</v>
      </c>
      <c r="M268" s="83">
        <f t="shared" si="260"/>
        <v>20384.693444831006</v>
      </c>
      <c r="N268" s="84"/>
      <c r="O268" s="72">
        <v>206</v>
      </c>
      <c r="P268" s="47" t="str">
        <f>IF(S267&gt;0.005,"February","")</f>
        <v/>
      </c>
      <c r="Q268" s="80">
        <f>IF(O268&lt;$S$7,"",IF(O268=$S$7,$Q$6*($S$6/12),S267*($S$6/12)))</f>
        <v>0</v>
      </c>
      <c r="R268" s="80">
        <f t="shared" ref="R268:R278" si="266">IF(O268&lt;$S$7,"",$Q$8-Q268)</f>
        <v>0</v>
      </c>
      <c r="S268" s="80">
        <f t="shared" ref="S268:S278" si="267">IF(O268&lt;$S$7,"",IF(O268=$S$7,$Q$6-R268,S267-R268))</f>
        <v>0</v>
      </c>
      <c r="T268" s="47"/>
      <c r="U268" s="84"/>
      <c r="V268" s="72">
        <v>206</v>
      </c>
      <c r="W268" s="47" t="e">
        <f>IF(Z267&gt;0.005,"February","")</f>
        <v>#NAME?</v>
      </c>
      <c r="X268" s="80" t="e">
        <f t="shared" ref="X268:X278" si="268">IF(V268&lt;$Z$7,"",($Z$6/12)*$X$6)</f>
        <v>#NAME?</v>
      </c>
      <c r="Y268" s="80"/>
      <c r="Z268" s="80" t="e">
        <f t="shared" ref="Z268:Z278" si="269">IF(V268&lt;$S$7,"",$X$6)</f>
        <v>#NAME?</v>
      </c>
      <c r="AA268" s="47"/>
      <c r="AB268" s="84"/>
      <c r="AC268" s="83"/>
      <c r="AD268" s="47" t="str">
        <f>IF(AG267&gt;0.005,"February","")</f>
        <v/>
      </c>
      <c r="AE268" s="80">
        <f t="shared" ref="AE268:AE278" si="270">IF(AG267&gt;0,ROUND(AG267*($AG$6/1200),2),0)</f>
        <v>0</v>
      </c>
      <c r="AF268" s="80">
        <f t="shared" ref="AF268:AF278" si="271">IF(AG267&lt;$AE$8,AG267,$AE$8-AE268)</f>
        <v>0</v>
      </c>
      <c r="AG268" s="80">
        <f t="shared" ref="AG268:AG278" si="272">IF(AG267-AF268&gt;0,AG267-AF268,0)</f>
        <v>0</v>
      </c>
      <c r="AH268" s="47"/>
    </row>
    <row r="269" spans="2:34" x14ac:dyDescent="0.25">
      <c r="B269" s="72">
        <v>207</v>
      </c>
      <c r="C269" s="47" t="str">
        <f>IF(F268&gt;0.005,"March","")</f>
        <v>March</v>
      </c>
      <c r="D269" s="80">
        <f t="shared" ref="D269:D277" si="273">IF(F268&gt;0,ROUND(F268*($F$6/12),2),0)</f>
        <v>10105.030000000001</v>
      </c>
      <c r="E269" s="80">
        <f t="shared" si="261"/>
        <v>14538.08692622687</v>
      </c>
      <c r="F269" s="80">
        <f t="shared" si="262"/>
        <v>2943030.5031972686</v>
      </c>
      <c r="G269" s="47"/>
      <c r="I269" s="81">
        <f t="shared" si="263"/>
        <v>106.97395710066898</v>
      </c>
      <c r="J269" s="82">
        <f t="shared" si="264"/>
        <v>4.0999999999999999E-4</v>
      </c>
      <c r="K269" s="81"/>
      <c r="L269" s="81">
        <f t="shared" si="265"/>
        <v>3130945.0858732383</v>
      </c>
      <c r="M269" s="83">
        <f t="shared" si="260"/>
        <v>20517.576536088036</v>
      </c>
      <c r="N269" s="84"/>
      <c r="O269" s="72">
        <v>207</v>
      </c>
      <c r="P269" s="47" t="str">
        <f>IF(S268&gt;0.005,"March","")</f>
        <v/>
      </c>
      <c r="Q269" s="80">
        <f t="shared" ref="Q269:Q278" si="274">IF(O269&lt;$S$7,"",IF(O269=$S$7,$Q$6*($S$6/12),S268*($S$6/12)))</f>
        <v>0</v>
      </c>
      <c r="R269" s="80">
        <f t="shared" si="266"/>
        <v>0</v>
      </c>
      <c r="S269" s="80">
        <f t="shared" si="267"/>
        <v>0</v>
      </c>
      <c r="T269" s="47"/>
      <c r="U269" s="84"/>
      <c r="V269" s="72">
        <v>207</v>
      </c>
      <c r="W269" s="47" t="e">
        <f>IF(Z268&gt;0.005,"March","")</f>
        <v>#NAME?</v>
      </c>
      <c r="X269" s="80" t="e">
        <f t="shared" si="268"/>
        <v>#NAME?</v>
      </c>
      <c r="Y269" s="80"/>
      <c r="Z269" s="80" t="e">
        <f t="shared" si="269"/>
        <v>#NAME?</v>
      </c>
      <c r="AA269" s="47"/>
      <c r="AB269" s="84"/>
      <c r="AC269" s="83"/>
      <c r="AD269" s="47" t="str">
        <f>IF(AG268&gt;0.005,"March","")</f>
        <v/>
      </c>
      <c r="AE269" s="80">
        <f t="shared" si="270"/>
        <v>0</v>
      </c>
      <c r="AF269" s="80">
        <f t="shared" si="271"/>
        <v>0</v>
      </c>
      <c r="AG269" s="80">
        <f t="shared" si="272"/>
        <v>0</v>
      </c>
      <c r="AH269" s="47"/>
    </row>
    <row r="270" spans="2:34" x14ac:dyDescent="0.25">
      <c r="B270" s="72">
        <v>208</v>
      </c>
      <c r="C270" s="47" t="str">
        <f>IF(F269&gt;0.005,"April","")</f>
        <v>April</v>
      </c>
      <c r="D270" s="80">
        <f t="shared" si="273"/>
        <v>10055.35</v>
      </c>
      <c r="E270" s="80">
        <f t="shared" si="261"/>
        <v>14587.76692622687</v>
      </c>
      <c r="F270" s="80">
        <f t="shared" si="262"/>
        <v>2928442.7362710419</v>
      </c>
      <c r="G270" s="47"/>
      <c r="I270" s="81">
        <f t="shared" si="263"/>
        <v>106.97395710066898</v>
      </c>
      <c r="J270" s="82">
        <f t="shared" si="264"/>
        <v>4.0999999999999999E-4</v>
      </c>
      <c r="K270" s="81"/>
      <c r="L270" s="81">
        <f t="shared" si="265"/>
        <v>3130945.0858732383</v>
      </c>
      <c r="M270" s="83">
        <f t="shared" si="260"/>
        <v>20652.208093079658</v>
      </c>
      <c r="N270" s="84"/>
      <c r="O270" s="72">
        <v>208</v>
      </c>
      <c r="P270" s="47" t="str">
        <f>IF(S269&gt;0.005,"April","")</f>
        <v/>
      </c>
      <c r="Q270" s="80">
        <f t="shared" si="274"/>
        <v>0</v>
      </c>
      <c r="R270" s="80">
        <f t="shared" si="266"/>
        <v>0</v>
      </c>
      <c r="S270" s="80">
        <f t="shared" si="267"/>
        <v>0</v>
      </c>
      <c r="T270" s="47"/>
      <c r="U270" s="84"/>
      <c r="V270" s="72">
        <v>208</v>
      </c>
      <c r="W270" s="47" t="e">
        <f>IF(Z269&gt;0.005,"April","")</f>
        <v>#NAME?</v>
      </c>
      <c r="X270" s="80" t="e">
        <f t="shared" si="268"/>
        <v>#NAME?</v>
      </c>
      <c r="Y270" s="80"/>
      <c r="Z270" s="80" t="e">
        <f t="shared" si="269"/>
        <v>#NAME?</v>
      </c>
      <c r="AA270" s="47"/>
      <c r="AB270" s="84"/>
      <c r="AC270" s="83"/>
      <c r="AD270" s="47" t="str">
        <f>IF(AG269&gt;0.005,"April","")</f>
        <v/>
      </c>
      <c r="AE270" s="80">
        <f t="shared" si="270"/>
        <v>0</v>
      </c>
      <c r="AF270" s="80">
        <f t="shared" si="271"/>
        <v>0</v>
      </c>
      <c r="AG270" s="80">
        <f t="shared" si="272"/>
        <v>0</v>
      </c>
      <c r="AH270" s="47"/>
    </row>
    <row r="271" spans="2:34" x14ac:dyDescent="0.25">
      <c r="B271" s="72">
        <v>209</v>
      </c>
      <c r="C271" s="47" t="str">
        <f>IF(F270&gt;0.005,"May","")</f>
        <v>May</v>
      </c>
      <c r="D271" s="80">
        <f t="shared" si="273"/>
        <v>10005.51</v>
      </c>
      <c r="E271" s="80">
        <f t="shared" si="261"/>
        <v>14637.60692622687</v>
      </c>
      <c r="F271" s="80">
        <f t="shared" si="262"/>
        <v>2913805.1293448149</v>
      </c>
      <c r="G271" s="47"/>
      <c r="I271" s="81">
        <f t="shared" si="263"/>
        <v>106.97395710066898</v>
      </c>
      <c r="J271" s="82">
        <f t="shared" si="264"/>
        <v>4.0999999999999999E-4</v>
      </c>
      <c r="K271" s="81"/>
      <c r="L271" s="81">
        <f t="shared" si="265"/>
        <v>3130945.0858732383</v>
      </c>
      <c r="M271" s="83">
        <f t="shared" si="260"/>
        <v>20788.622853535711</v>
      </c>
      <c r="N271" s="84"/>
      <c r="O271" s="72">
        <v>209</v>
      </c>
      <c r="P271" s="47" t="str">
        <f>IF(S270&gt;0.005,"May","")</f>
        <v/>
      </c>
      <c r="Q271" s="80">
        <f t="shared" si="274"/>
        <v>0</v>
      </c>
      <c r="R271" s="80">
        <f t="shared" si="266"/>
        <v>0</v>
      </c>
      <c r="S271" s="80">
        <f t="shared" si="267"/>
        <v>0</v>
      </c>
      <c r="T271" s="47"/>
      <c r="U271" s="84"/>
      <c r="V271" s="72">
        <v>209</v>
      </c>
      <c r="W271" s="47" t="e">
        <f>IF(Z270&gt;0.005,"May","")</f>
        <v>#NAME?</v>
      </c>
      <c r="X271" s="80" t="e">
        <f t="shared" si="268"/>
        <v>#NAME?</v>
      </c>
      <c r="Y271" s="80"/>
      <c r="Z271" s="80" t="e">
        <f t="shared" si="269"/>
        <v>#NAME?</v>
      </c>
      <c r="AA271" s="47"/>
      <c r="AB271" s="84"/>
      <c r="AC271" s="83"/>
      <c r="AD271" s="47" t="str">
        <f>IF(AG270&gt;0.005,"May","")</f>
        <v/>
      </c>
      <c r="AE271" s="80">
        <f t="shared" si="270"/>
        <v>0</v>
      </c>
      <c r="AF271" s="80">
        <f t="shared" si="271"/>
        <v>0</v>
      </c>
      <c r="AG271" s="80">
        <f t="shared" si="272"/>
        <v>0</v>
      </c>
      <c r="AH271" s="47"/>
    </row>
    <row r="272" spans="2:34" x14ac:dyDescent="0.25">
      <c r="B272" s="72">
        <v>210</v>
      </c>
      <c r="C272" s="47" t="str">
        <f>IF(F271&gt;0.005,"June","")</f>
        <v>June</v>
      </c>
      <c r="D272" s="80">
        <f t="shared" si="273"/>
        <v>9955.5</v>
      </c>
      <c r="E272" s="80">
        <f t="shared" si="261"/>
        <v>14687.61692622687</v>
      </c>
      <c r="F272" s="80">
        <f t="shared" si="262"/>
        <v>2899117.5124185882</v>
      </c>
      <c r="G272" s="47"/>
      <c r="I272" s="81">
        <f t="shared" si="263"/>
        <v>106.97395710066898</v>
      </c>
      <c r="J272" s="82">
        <f t="shared" si="264"/>
        <v>4.0999999999999999E-4</v>
      </c>
      <c r="K272" s="81"/>
      <c r="L272" s="81">
        <f t="shared" si="265"/>
        <v>3130945.0858732383</v>
      </c>
      <c r="M272" s="83">
        <f t="shared" si="260"/>
        <v>20926.856481525479</v>
      </c>
      <c r="N272" s="84"/>
      <c r="O272" s="72">
        <v>210</v>
      </c>
      <c r="P272" s="47" t="str">
        <f>IF(S271&gt;0.005,"June","")</f>
        <v/>
      </c>
      <c r="Q272" s="80">
        <f t="shared" si="274"/>
        <v>0</v>
      </c>
      <c r="R272" s="80">
        <f t="shared" si="266"/>
        <v>0</v>
      </c>
      <c r="S272" s="80">
        <f t="shared" si="267"/>
        <v>0</v>
      </c>
      <c r="T272" s="47"/>
      <c r="U272" s="84"/>
      <c r="V272" s="72">
        <v>210</v>
      </c>
      <c r="W272" s="47" t="e">
        <f>IF(Z271&gt;0.005,"June","")</f>
        <v>#NAME?</v>
      </c>
      <c r="X272" s="80" t="e">
        <f t="shared" si="268"/>
        <v>#NAME?</v>
      </c>
      <c r="Y272" s="80"/>
      <c r="Z272" s="80" t="e">
        <f t="shared" si="269"/>
        <v>#NAME?</v>
      </c>
      <c r="AA272" s="47"/>
      <c r="AB272" s="84"/>
      <c r="AC272" s="83"/>
      <c r="AD272" s="47" t="str">
        <f>IF(AG271&gt;0.005,"June","")</f>
        <v/>
      </c>
      <c r="AE272" s="80">
        <f t="shared" si="270"/>
        <v>0</v>
      </c>
      <c r="AF272" s="80">
        <f t="shared" si="271"/>
        <v>0</v>
      </c>
      <c r="AG272" s="80">
        <f t="shared" si="272"/>
        <v>0</v>
      </c>
      <c r="AH272" s="47"/>
    </row>
    <row r="273" spans="2:34" x14ac:dyDescent="0.25">
      <c r="B273" s="72">
        <v>211</v>
      </c>
      <c r="C273" s="47" t="str">
        <f>IF(F272&gt;0.005,"July","")</f>
        <v>July</v>
      </c>
      <c r="D273" s="80">
        <f t="shared" si="273"/>
        <v>9905.32</v>
      </c>
      <c r="E273" s="80">
        <f t="shared" si="261"/>
        <v>14737.796926226871</v>
      </c>
      <c r="F273" s="80">
        <f t="shared" si="262"/>
        <v>2884379.7154923612</v>
      </c>
      <c r="G273" s="47"/>
      <c r="I273" s="81">
        <f t="shared" si="263"/>
        <v>106.97395710066898</v>
      </c>
      <c r="J273" s="82">
        <f t="shared" si="264"/>
        <v>4.0999999999999999E-4</v>
      </c>
      <c r="K273" s="81"/>
      <c r="L273" s="81">
        <f t="shared" si="265"/>
        <v>3130945.0858732383</v>
      </c>
      <c r="M273" s="83">
        <f t="shared" si="260"/>
        <v>21066.945598542934</v>
      </c>
      <c r="N273" s="84"/>
      <c r="O273" s="72">
        <v>211</v>
      </c>
      <c r="P273" s="47" t="str">
        <f>IF(S272&gt;0.005,"July","")</f>
        <v/>
      </c>
      <c r="Q273" s="80">
        <f t="shared" si="274"/>
        <v>0</v>
      </c>
      <c r="R273" s="80">
        <f t="shared" si="266"/>
        <v>0</v>
      </c>
      <c r="S273" s="80">
        <f t="shared" si="267"/>
        <v>0</v>
      </c>
      <c r="T273" s="47"/>
      <c r="U273" s="84"/>
      <c r="V273" s="72">
        <v>211</v>
      </c>
      <c r="W273" s="47" t="e">
        <f>IF(Z272&gt;0.005,"July","")</f>
        <v>#NAME?</v>
      </c>
      <c r="X273" s="80" t="e">
        <f t="shared" si="268"/>
        <v>#NAME?</v>
      </c>
      <c r="Y273" s="80"/>
      <c r="Z273" s="80" t="e">
        <f t="shared" si="269"/>
        <v>#NAME?</v>
      </c>
      <c r="AA273" s="47"/>
      <c r="AB273" s="84"/>
      <c r="AC273" s="83"/>
      <c r="AD273" s="47" t="str">
        <f>IF(AG272&gt;0.005,"July","")</f>
        <v/>
      </c>
      <c r="AE273" s="80">
        <f t="shared" si="270"/>
        <v>0</v>
      </c>
      <c r="AF273" s="80">
        <f t="shared" si="271"/>
        <v>0</v>
      </c>
      <c r="AG273" s="80">
        <f t="shared" si="272"/>
        <v>0</v>
      </c>
      <c r="AH273" s="47"/>
    </row>
    <row r="274" spans="2:34" x14ac:dyDescent="0.25">
      <c r="B274" s="72">
        <v>212</v>
      </c>
      <c r="C274" s="47" t="str">
        <f>IF(F273&gt;0.005,"August","")</f>
        <v>August</v>
      </c>
      <c r="D274" s="80">
        <f t="shared" si="273"/>
        <v>9854.9599999999991</v>
      </c>
      <c r="E274" s="80">
        <f t="shared" si="261"/>
        <v>14788.156926226871</v>
      </c>
      <c r="F274" s="80">
        <f t="shared" si="262"/>
        <v>2869591.5585661344</v>
      </c>
      <c r="G274" s="47"/>
      <c r="I274" s="81">
        <f t="shared" si="263"/>
        <v>106.97395710066898</v>
      </c>
      <c r="J274" s="82">
        <f t="shared" si="264"/>
        <v>4.0999999999999999E-4</v>
      </c>
      <c r="K274" s="81"/>
      <c r="L274" s="81">
        <f t="shared" si="265"/>
        <v>3130945.0858732383</v>
      </c>
      <c r="M274" s="83">
        <f t="shared" si="260"/>
        <v>21208.927815852145</v>
      </c>
      <c r="N274" s="84"/>
      <c r="O274" s="72">
        <v>212</v>
      </c>
      <c r="P274" s="47" t="str">
        <f>IF(S273&gt;0.005,"August","")</f>
        <v/>
      </c>
      <c r="Q274" s="80">
        <f t="shared" si="274"/>
        <v>0</v>
      </c>
      <c r="R274" s="80">
        <f t="shared" si="266"/>
        <v>0</v>
      </c>
      <c r="S274" s="80">
        <f t="shared" si="267"/>
        <v>0</v>
      </c>
      <c r="T274" s="47"/>
      <c r="U274" s="84"/>
      <c r="V274" s="72">
        <v>212</v>
      </c>
      <c r="W274" s="47" t="e">
        <f>IF(Z273&gt;0.005,"August","")</f>
        <v>#NAME?</v>
      </c>
      <c r="X274" s="80" t="e">
        <f t="shared" si="268"/>
        <v>#NAME?</v>
      </c>
      <c r="Y274" s="80"/>
      <c r="Z274" s="80" t="e">
        <f t="shared" si="269"/>
        <v>#NAME?</v>
      </c>
      <c r="AA274" s="47"/>
      <c r="AB274" s="84"/>
      <c r="AC274" s="83"/>
      <c r="AD274" s="47" t="str">
        <f>IF(AG273&gt;0.005,"August","")</f>
        <v/>
      </c>
      <c r="AE274" s="80">
        <f t="shared" si="270"/>
        <v>0</v>
      </c>
      <c r="AF274" s="80">
        <f t="shared" si="271"/>
        <v>0</v>
      </c>
      <c r="AG274" s="80">
        <f t="shared" si="272"/>
        <v>0</v>
      </c>
      <c r="AH274" s="47"/>
    </row>
    <row r="275" spans="2:34" x14ac:dyDescent="0.25">
      <c r="B275" s="72">
        <v>213</v>
      </c>
      <c r="C275" s="47" t="str">
        <f>IF(F274&gt;0.005,"September","")</f>
        <v>September</v>
      </c>
      <c r="D275" s="80">
        <f t="shared" si="273"/>
        <v>9804.44</v>
      </c>
      <c r="E275" s="80">
        <f t="shared" si="261"/>
        <v>14838.67692622687</v>
      </c>
      <c r="F275" s="80">
        <f t="shared" si="262"/>
        <v>2854752.8816399076</v>
      </c>
      <c r="G275" s="47"/>
      <c r="I275" s="81">
        <f t="shared" si="263"/>
        <v>106.97395710066898</v>
      </c>
      <c r="J275" s="82">
        <f t="shared" si="264"/>
        <v>4.0999999999999999E-4</v>
      </c>
      <c r="K275" s="81"/>
      <c r="L275" s="81">
        <f t="shared" si="265"/>
        <v>3130945.0858732383</v>
      </c>
      <c r="M275" s="83">
        <f t="shared" si="260"/>
        <v>21352.841768152939</v>
      </c>
      <c r="N275" s="84"/>
      <c r="O275" s="72">
        <v>213</v>
      </c>
      <c r="P275" s="47" t="str">
        <f>IF(S274&gt;0.005,"September","")</f>
        <v/>
      </c>
      <c r="Q275" s="80">
        <f t="shared" si="274"/>
        <v>0</v>
      </c>
      <c r="R275" s="80">
        <f t="shared" si="266"/>
        <v>0</v>
      </c>
      <c r="S275" s="80">
        <f t="shared" si="267"/>
        <v>0</v>
      </c>
      <c r="T275" s="47"/>
      <c r="U275" s="84"/>
      <c r="V275" s="72">
        <v>213</v>
      </c>
      <c r="W275" s="47" t="e">
        <f>IF(Z274&gt;0.005,"September","")</f>
        <v>#NAME?</v>
      </c>
      <c r="X275" s="80" t="e">
        <f t="shared" si="268"/>
        <v>#NAME?</v>
      </c>
      <c r="Y275" s="80"/>
      <c r="Z275" s="80" t="e">
        <f t="shared" si="269"/>
        <v>#NAME?</v>
      </c>
      <c r="AA275" s="47"/>
      <c r="AB275" s="84"/>
      <c r="AC275" s="83"/>
      <c r="AD275" s="47" t="str">
        <f>IF(AG274&gt;0.005,"September","")</f>
        <v/>
      </c>
      <c r="AE275" s="80">
        <f t="shared" si="270"/>
        <v>0</v>
      </c>
      <c r="AF275" s="80">
        <f t="shared" si="271"/>
        <v>0</v>
      </c>
      <c r="AG275" s="80">
        <f t="shared" si="272"/>
        <v>0</v>
      </c>
      <c r="AH275" s="47"/>
    </row>
    <row r="276" spans="2:34" x14ac:dyDescent="0.25">
      <c r="B276" s="72">
        <v>214</v>
      </c>
      <c r="C276" s="47" t="str">
        <f>IF(F275&gt;0.005,"October","")</f>
        <v>October</v>
      </c>
      <c r="D276" s="80">
        <f t="shared" si="273"/>
        <v>9753.74</v>
      </c>
      <c r="E276" s="80">
        <f t="shared" si="261"/>
        <v>14889.376926226871</v>
      </c>
      <c r="F276" s="80">
        <f t="shared" si="262"/>
        <v>2839863.5047136806</v>
      </c>
      <c r="G276" s="47"/>
      <c r="I276" s="81">
        <f t="shared" si="263"/>
        <v>106.97395710066898</v>
      </c>
      <c r="J276" s="82">
        <f t="shared" si="264"/>
        <v>4.0999999999999999E-4</v>
      </c>
      <c r="K276" s="81"/>
      <c r="L276" s="81">
        <f t="shared" si="265"/>
        <v>3130945.0858732383</v>
      </c>
      <c r="M276" s="83">
        <f t="shared" si="260"/>
        <v>21498.727148630092</v>
      </c>
      <c r="N276" s="84"/>
      <c r="O276" s="72">
        <v>214</v>
      </c>
      <c r="P276" s="47" t="str">
        <f>IF(S275&gt;0.005,"October","")</f>
        <v/>
      </c>
      <c r="Q276" s="80">
        <f t="shared" si="274"/>
        <v>0</v>
      </c>
      <c r="R276" s="80">
        <f t="shared" si="266"/>
        <v>0</v>
      </c>
      <c r="S276" s="80">
        <f t="shared" si="267"/>
        <v>0</v>
      </c>
      <c r="T276" s="47"/>
      <c r="U276" s="84"/>
      <c r="V276" s="72">
        <v>214</v>
      </c>
      <c r="W276" s="47" t="e">
        <f>IF(Z275&gt;0.005,"October","")</f>
        <v>#NAME?</v>
      </c>
      <c r="X276" s="80" t="e">
        <f t="shared" si="268"/>
        <v>#NAME?</v>
      </c>
      <c r="Y276" s="80"/>
      <c r="Z276" s="80" t="e">
        <f t="shared" si="269"/>
        <v>#NAME?</v>
      </c>
      <c r="AA276" s="47"/>
      <c r="AB276" s="84"/>
      <c r="AC276" s="83"/>
      <c r="AD276" s="47" t="str">
        <f>IF(AG275&gt;0.005,"October","")</f>
        <v/>
      </c>
      <c r="AE276" s="80">
        <f t="shared" si="270"/>
        <v>0</v>
      </c>
      <c r="AF276" s="80">
        <f t="shared" si="271"/>
        <v>0</v>
      </c>
      <c r="AG276" s="80">
        <f t="shared" si="272"/>
        <v>0</v>
      </c>
      <c r="AH276" s="47"/>
    </row>
    <row r="277" spans="2:34" x14ac:dyDescent="0.25">
      <c r="B277" s="72">
        <v>215</v>
      </c>
      <c r="C277" s="47" t="str">
        <f>IF(F276&gt;0.005,"November","")</f>
        <v>November</v>
      </c>
      <c r="D277" s="80">
        <f t="shared" si="273"/>
        <v>9702.8700000000008</v>
      </c>
      <c r="E277" s="80">
        <f t="shared" si="261"/>
        <v>14940.24692622687</v>
      </c>
      <c r="F277" s="80">
        <f t="shared" si="262"/>
        <v>2824923.2577874539</v>
      </c>
      <c r="G277" s="47"/>
      <c r="I277" s="81">
        <f t="shared" si="263"/>
        <v>106.97395710066898</v>
      </c>
      <c r="J277" s="82">
        <f t="shared" si="264"/>
        <v>4.0999999999999999E-4</v>
      </c>
      <c r="K277" s="81"/>
      <c r="L277" s="81">
        <f t="shared" si="265"/>
        <v>3130945.0858732383</v>
      </c>
      <c r="M277" s="83">
        <f t="shared" si="260"/>
        <v>21646.624745452755</v>
      </c>
      <c r="N277" s="84"/>
      <c r="O277" s="72">
        <v>215</v>
      </c>
      <c r="P277" s="47" t="str">
        <f>IF(S276&gt;0.005,"November","")</f>
        <v/>
      </c>
      <c r="Q277" s="80">
        <f t="shared" si="274"/>
        <v>0</v>
      </c>
      <c r="R277" s="80">
        <f t="shared" si="266"/>
        <v>0</v>
      </c>
      <c r="S277" s="80">
        <f t="shared" si="267"/>
        <v>0</v>
      </c>
      <c r="T277" s="47"/>
      <c r="U277" s="84"/>
      <c r="V277" s="72">
        <v>215</v>
      </c>
      <c r="W277" s="47" t="e">
        <f>IF(Z276&gt;0.005,"November","")</f>
        <v>#NAME?</v>
      </c>
      <c r="X277" s="80" t="e">
        <f t="shared" si="268"/>
        <v>#NAME?</v>
      </c>
      <c r="Y277" s="80"/>
      <c r="Z277" s="80" t="e">
        <f t="shared" si="269"/>
        <v>#NAME?</v>
      </c>
      <c r="AA277" s="47"/>
      <c r="AB277" s="84"/>
      <c r="AC277" s="83"/>
      <c r="AD277" s="47" t="str">
        <f>IF(AG276&gt;0.005,"November","")</f>
        <v/>
      </c>
      <c r="AE277" s="80">
        <f t="shared" si="270"/>
        <v>0</v>
      </c>
      <c r="AF277" s="80">
        <f t="shared" si="271"/>
        <v>0</v>
      </c>
      <c r="AG277" s="80">
        <f t="shared" si="272"/>
        <v>0</v>
      </c>
      <c r="AH277" s="47"/>
    </row>
    <row r="278" spans="2:34" x14ac:dyDescent="0.25">
      <c r="B278" s="72">
        <v>216</v>
      </c>
      <c r="C278" s="47" t="str">
        <f>IF(F277&gt;0.005,"December","")</f>
        <v>December</v>
      </c>
      <c r="D278" s="80">
        <f>IF(F277&gt;0,ROUND(F277*($F$6/12),2),0)</f>
        <v>9651.82</v>
      </c>
      <c r="E278" s="80">
        <f t="shared" si="261"/>
        <v>14991.296926226871</v>
      </c>
      <c r="F278" s="80">
        <f t="shared" si="262"/>
        <v>2809931.960861227</v>
      </c>
      <c r="G278" s="47"/>
      <c r="I278" s="81">
        <f t="shared" si="263"/>
        <v>106.97395710066898</v>
      </c>
      <c r="J278" s="82">
        <f t="shared" si="264"/>
        <v>4.0999999999999999E-4</v>
      </c>
      <c r="K278" s="86"/>
      <c r="L278" s="81">
        <f t="shared" si="265"/>
        <v>3130945.0858732383</v>
      </c>
      <c r="M278" s="83">
        <f t="shared" si="260"/>
        <v>21796.576479794796</v>
      </c>
      <c r="N278" s="84"/>
      <c r="O278" s="72">
        <v>216</v>
      </c>
      <c r="P278" s="47" t="str">
        <f>IF(S277&gt;0.005,"December","")</f>
        <v/>
      </c>
      <c r="Q278" s="80">
        <f t="shared" si="274"/>
        <v>0</v>
      </c>
      <c r="R278" s="80">
        <f t="shared" si="266"/>
        <v>0</v>
      </c>
      <c r="S278" s="80">
        <f t="shared" si="267"/>
        <v>0</v>
      </c>
      <c r="T278" s="47"/>
      <c r="U278" s="84"/>
      <c r="V278" s="72">
        <v>216</v>
      </c>
      <c r="W278" s="47" t="e">
        <f>IF(Z277&gt;0.005,"December","")</f>
        <v>#NAME?</v>
      </c>
      <c r="X278" s="80" t="e">
        <f t="shared" si="268"/>
        <v>#NAME?</v>
      </c>
      <c r="Y278" s="80"/>
      <c r="Z278" s="80" t="e">
        <f t="shared" si="269"/>
        <v>#NAME?</v>
      </c>
      <c r="AA278" s="47"/>
      <c r="AB278" s="84"/>
      <c r="AC278" s="83"/>
      <c r="AD278" s="47" t="str">
        <f>IF(AG277&gt;0.005,"December","")</f>
        <v/>
      </c>
      <c r="AE278" s="80">
        <f t="shared" si="270"/>
        <v>0</v>
      </c>
      <c r="AF278" s="80">
        <f t="shared" si="271"/>
        <v>0</v>
      </c>
      <c r="AG278" s="80">
        <f t="shared" si="272"/>
        <v>0</v>
      </c>
      <c r="AH278" s="47"/>
    </row>
    <row r="279" spans="2:34" x14ac:dyDescent="0.25">
      <c r="B279" s="46"/>
      <c r="C279" s="85" t="str">
        <f>"Total "&amp;YEAR($C$9)+17</f>
        <v>Total 2036</v>
      </c>
      <c r="D279" s="86">
        <f>SUM(D267:D278)</f>
        <v>119152.93</v>
      </c>
      <c r="E279" s="86">
        <f>SUM(E267:E278)</f>
        <v>176564.47311472244</v>
      </c>
      <c r="F279" s="87"/>
      <c r="G279" s="47"/>
      <c r="I279" s="86">
        <f>SUM(I267:I278)</f>
        <v>1283.6874852080275</v>
      </c>
      <c r="J279" s="46"/>
      <c r="K279" s="86">
        <f>SUM(K267:K278)</f>
        <v>0</v>
      </c>
      <c r="L279" s="46"/>
      <c r="M279" s="46"/>
      <c r="O279" s="46"/>
      <c r="P279" s="85" t="str">
        <f>"Total "&amp;YEAR($C$9)+17</f>
        <v>Total 2036</v>
      </c>
      <c r="Q279" s="86">
        <f>SUM(Q267:Q278)</f>
        <v>0</v>
      </c>
      <c r="R279" s="86">
        <f>SUM(R267:R278)</f>
        <v>0</v>
      </c>
      <c r="S279" s="87"/>
      <c r="T279" s="47"/>
      <c r="V279" s="46"/>
      <c r="W279" s="85" t="str">
        <f>"Total "&amp;YEAR($C$9)+17</f>
        <v>Total 2036</v>
      </c>
      <c r="X279" s="86" t="e">
        <f>SUM(X267:X278)</f>
        <v>#NAME?</v>
      </c>
      <c r="Y279" s="86">
        <f>SUM(Y267:Y278)</f>
        <v>0</v>
      </c>
      <c r="Z279" s="87"/>
      <c r="AA279" s="47"/>
      <c r="AC279" s="46"/>
      <c r="AD279" s="85" t="str">
        <f>"Total "&amp;YEAR($C$9)+17</f>
        <v>Total 2036</v>
      </c>
      <c r="AE279" s="86">
        <f>SUM(AE267:AE278)</f>
        <v>0</v>
      </c>
      <c r="AF279" s="86">
        <f>SUM(AF267:AF278)</f>
        <v>0</v>
      </c>
      <c r="AG279" s="87"/>
      <c r="AH279" s="47"/>
    </row>
    <row r="280" spans="2:34" x14ac:dyDescent="0.25">
      <c r="B280" s="46"/>
      <c r="C280" s="47"/>
      <c r="D280" s="80"/>
      <c r="E280" s="80"/>
      <c r="F280" s="80"/>
      <c r="G280" s="47"/>
      <c r="I280" s="46"/>
      <c r="J280" s="46"/>
      <c r="K280" s="46"/>
      <c r="L280" s="46"/>
      <c r="M280" s="46"/>
      <c r="O280" s="46"/>
      <c r="P280" s="47"/>
      <c r="Q280" s="80"/>
      <c r="R280" s="80"/>
      <c r="S280" s="80"/>
      <c r="T280" s="47"/>
      <c r="V280" s="46"/>
      <c r="W280" s="47"/>
      <c r="X280" s="80"/>
      <c r="Y280" s="80"/>
      <c r="Z280" s="80"/>
      <c r="AA280" s="47"/>
      <c r="AC280" s="46"/>
      <c r="AD280" s="47"/>
      <c r="AE280" s="80"/>
      <c r="AF280" s="80"/>
      <c r="AG280" s="80"/>
      <c r="AH280" s="47"/>
    </row>
    <row r="281" spans="2:34" x14ac:dyDescent="0.25">
      <c r="B281" s="46"/>
      <c r="C281" s="47"/>
      <c r="D281" s="75" t="s">
        <v>62</v>
      </c>
      <c r="E281" s="75" t="s">
        <v>63</v>
      </c>
      <c r="F281" s="75" t="s">
        <v>64</v>
      </c>
      <c r="G281" s="47"/>
      <c r="I281" s="46"/>
      <c r="J281" s="46"/>
      <c r="K281" s="46"/>
      <c r="L281" s="46"/>
      <c r="M281" s="46"/>
      <c r="O281" s="46"/>
      <c r="P281" s="47"/>
      <c r="Q281" s="75" t="s">
        <v>62</v>
      </c>
      <c r="R281" s="75" t="s">
        <v>63</v>
      </c>
      <c r="S281" s="75" t="s">
        <v>64</v>
      </c>
      <c r="T281" s="47"/>
      <c r="V281" s="46"/>
      <c r="W281" s="47"/>
      <c r="X281" s="75" t="s">
        <v>62</v>
      </c>
      <c r="Y281" s="75" t="s">
        <v>63</v>
      </c>
      <c r="Z281" s="75" t="s">
        <v>64</v>
      </c>
      <c r="AA281" s="47"/>
      <c r="AC281" s="46"/>
      <c r="AD281" s="47"/>
      <c r="AE281" s="75" t="s">
        <v>62</v>
      </c>
      <c r="AF281" s="75" t="s">
        <v>63</v>
      </c>
      <c r="AG281" s="75" t="s">
        <v>64</v>
      </c>
      <c r="AH281" s="47"/>
    </row>
    <row r="282" spans="2:34" x14ac:dyDescent="0.25">
      <c r="B282" s="72">
        <v>217</v>
      </c>
      <c r="C282" s="47" t="str">
        <f>IF(F278&gt;0.005,"January","")</f>
        <v>January</v>
      </c>
      <c r="D282" s="80">
        <f>IF(F278&gt;0,ROUND(F278*($F$6/12),2),0)</f>
        <v>9600.6</v>
      </c>
      <c r="E282" s="80">
        <f>IF(F278&lt;$D$8,F278,$D$8-D282)</f>
        <v>15042.51692622687</v>
      </c>
      <c r="F282" s="80">
        <f>IF(F278-E282&gt;0,F278-E282,0)</f>
        <v>2794889.4439350003</v>
      </c>
      <c r="G282" s="47"/>
      <c r="I282" s="81">
        <f>L278*J282/12</f>
        <v>106.97395710066898</v>
      </c>
      <c r="J282" s="82">
        <f>$F$6/100</f>
        <v>4.0999999999999999E-4</v>
      </c>
      <c r="K282" s="81"/>
      <c r="L282" s="81">
        <f>MAX(L278+L278*($F$6/100)/12-I282-K282,0)</f>
        <v>3130945.0858732383</v>
      </c>
      <c r="M282" s="83">
        <f t="shared" ref="M282:M293" si="275">-PMT(($F$6/100)/12,$D$7-B282,L282,0,0)</f>
        <v>21948.625445450332</v>
      </c>
      <c r="N282" s="84"/>
      <c r="O282" s="72">
        <v>217</v>
      </c>
      <c r="P282" s="47" t="str">
        <f>IF(S278&gt;0.005,"January","")</f>
        <v/>
      </c>
      <c r="Q282" s="80">
        <f>IF(O282&lt;$S$7,"",IF(O282=$S$7,$Q$6*($S$6/12),S278*($S$6/12)))</f>
        <v>0</v>
      </c>
      <c r="R282" s="80">
        <f>IF(O282&lt;$S$7,"",$Q$8-Q282)</f>
        <v>0</v>
      </c>
      <c r="S282" s="80">
        <f>IF(O282&lt;$S$7,"",IF(O282=$S$7,$Q$6-R282,S278-R282))</f>
        <v>0</v>
      </c>
      <c r="T282" s="47"/>
      <c r="U282" s="84"/>
      <c r="V282" s="72">
        <v>217</v>
      </c>
      <c r="W282" s="47" t="e">
        <f>IF(Z278&gt;0.005,"January","")</f>
        <v>#NAME?</v>
      </c>
      <c r="X282" s="80" t="e">
        <f>IF(V282&lt;$Z$7,"",($Z$6/12)*$X$6)</f>
        <v>#NAME?</v>
      </c>
      <c r="Y282" s="80"/>
      <c r="Z282" s="80" t="e">
        <f>IF(V282&lt;$S$7,"",$X$6)</f>
        <v>#NAME?</v>
      </c>
      <c r="AA282" s="47"/>
      <c r="AB282" s="84"/>
      <c r="AC282" s="83"/>
      <c r="AD282" s="47" t="str">
        <f>IF(AG278&gt;0.005,"January","")</f>
        <v/>
      </c>
      <c r="AE282" s="80">
        <f>IF(AG278&gt;0,ROUND(AG278*($AG$6/1200),2),0)</f>
        <v>0</v>
      </c>
      <c r="AF282" s="80">
        <f>IF(AG278&lt;$AE$8,AG278,$AE$8-AE282)</f>
        <v>0</v>
      </c>
      <c r="AG282" s="80">
        <f>IF(AG278-AF282&gt;0,AG278-AF282,0)</f>
        <v>0</v>
      </c>
      <c r="AH282" s="47"/>
    </row>
    <row r="283" spans="2:34" x14ac:dyDescent="0.25">
      <c r="B283" s="72">
        <v>218</v>
      </c>
      <c r="C283" s="47" t="str">
        <f>IF(F282&gt;0.005,"February","")</f>
        <v>February</v>
      </c>
      <c r="D283" s="80">
        <f>IF(F282&gt;0,ROUND(F282*($F$6/12),2),0)</f>
        <v>9549.2099999999991</v>
      </c>
      <c r="E283" s="80">
        <f t="shared" ref="E283:E293" si="276">IF(F282&lt;$D$8,F282,$D$8-D283)</f>
        <v>15093.906926226871</v>
      </c>
      <c r="F283" s="80">
        <f t="shared" ref="F283:F293" si="277">IF(F282-E283&gt;0,F282-E283,0)</f>
        <v>2779795.5370087735</v>
      </c>
      <c r="G283" s="47"/>
      <c r="I283" s="81">
        <f t="shared" ref="I283:I293" si="278">L282*J283/12</f>
        <v>106.97395710066898</v>
      </c>
      <c r="J283" s="82">
        <f t="shared" ref="J283:J293" si="279">$F$6/100</f>
        <v>4.0999999999999999E-4</v>
      </c>
      <c r="K283" s="81"/>
      <c r="L283" s="81">
        <f t="shared" ref="L283:L293" si="280">MAX(L282+L282*($F$6/100)/12-I283-K283,0)</f>
        <v>3130945.0858732383</v>
      </c>
      <c r="M283" s="83">
        <f t="shared" si="275"/>
        <v>22102.815950123164</v>
      </c>
      <c r="N283" s="84"/>
      <c r="O283" s="72">
        <v>218</v>
      </c>
      <c r="P283" s="47" t="str">
        <f>IF(S282&gt;0.005,"February","")</f>
        <v/>
      </c>
      <c r="Q283" s="80">
        <f>IF(O283&lt;$S$7,"",IF(O283=$S$7,$Q$6*($S$6/12),S282*($S$6/12)))</f>
        <v>0</v>
      </c>
      <c r="R283" s="80">
        <f t="shared" ref="R283:R293" si="281">IF(O283&lt;$S$7,"",$Q$8-Q283)</f>
        <v>0</v>
      </c>
      <c r="S283" s="80">
        <f t="shared" ref="S283:S293" si="282">IF(O283&lt;$S$7,"",IF(O283=$S$7,$Q$6-R283,S282-R283))</f>
        <v>0</v>
      </c>
      <c r="T283" s="47"/>
      <c r="U283" s="84"/>
      <c r="V283" s="72">
        <v>218</v>
      </c>
      <c r="W283" s="47" t="e">
        <f>IF(Z282&gt;0.005,"February","")</f>
        <v>#NAME?</v>
      </c>
      <c r="X283" s="80" t="e">
        <f t="shared" ref="X283:X293" si="283">IF(V283&lt;$Z$7,"",($Z$6/12)*$X$6)</f>
        <v>#NAME?</v>
      </c>
      <c r="Y283" s="80"/>
      <c r="Z283" s="80" t="e">
        <f t="shared" ref="Z283:Z293" si="284">IF(V283&lt;$S$7,"",$X$6)</f>
        <v>#NAME?</v>
      </c>
      <c r="AA283" s="47"/>
      <c r="AB283" s="84"/>
      <c r="AC283" s="83"/>
      <c r="AD283" s="47" t="str">
        <f>IF(AG282&gt;0.005,"February","")</f>
        <v/>
      </c>
      <c r="AE283" s="80">
        <f t="shared" ref="AE283:AE293" si="285">IF(AG282&gt;0,ROUND(AG282*($AG$6/1200),2),0)</f>
        <v>0</v>
      </c>
      <c r="AF283" s="80">
        <f t="shared" ref="AF283:AF293" si="286">IF(AG282&lt;$AE$8,AG282,$AE$8-AE283)</f>
        <v>0</v>
      </c>
      <c r="AG283" s="80">
        <f t="shared" ref="AG283:AG293" si="287">IF(AG282-AF283&gt;0,AG282-AF283,0)</f>
        <v>0</v>
      </c>
      <c r="AH283" s="47"/>
    </row>
    <row r="284" spans="2:34" x14ac:dyDescent="0.25">
      <c r="B284" s="72">
        <v>219</v>
      </c>
      <c r="C284" s="47" t="str">
        <f>IF(F283&gt;0.005,"March","")</f>
        <v>March</v>
      </c>
      <c r="D284" s="80">
        <f t="shared" ref="D284:D292" si="288">IF(F283&gt;0,ROUND(F283*($F$6/12),2),0)</f>
        <v>9497.6299999999992</v>
      </c>
      <c r="E284" s="80">
        <f t="shared" si="276"/>
        <v>15145.486926226871</v>
      </c>
      <c r="F284" s="80">
        <f t="shared" si="277"/>
        <v>2764650.0500825467</v>
      </c>
      <c r="G284" s="47"/>
      <c r="I284" s="81">
        <f t="shared" si="278"/>
        <v>106.97395710066898</v>
      </c>
      <c r="J284" s="82">
        <f t="shared" si="279"/>
        <v>4.0999999999999999E-4</v>
      </c>
      <c r="K284" s="81"/>
      <c r="L284" s="81">
        <f t="shared" si="280"/>
        <v>3130945.0858732383</v>
      </c>
      <c r="M284" s="83">
        <f t="shared" si="275"/>
        <v>22259.193558473246</v>
      </c>
      <c r="N284" s="84"/>
      <c r="O284" s="72">
        <v>219</v>
      </c>
      <c r="P284" s="47" t="str">
        <f>IF(S283&gt;0.005,"March","")</f>
        <v/>
      </c>
      <c r="Q284" s="80">
        <f t="shared" ref="Q284:Q293" si="289">IF(O284&lt;$S$7,"",IF(O284=$S$7,$Q$6*($S$6/12),S283*($S$6/12)))</f>
        <v>0</v>
      </c>
      <c r="R284" s="80">
        <f t="shared" si="281"/>
        <v>0</v>
      </c>
      <c r="S284" s="80">
        <f t="shared" si="282"/>
        <v>0</v>
      </c>
      <c r="T284" s="47"/>
      <c r="U284" s="84"/>
      <c r="V284" s="72">
        <v>219</v>
      </c>
      <c r="W284" s="47" t="e">
        <f>IF(Z283&gt;0.005,"March","")</f>
        <v>#NAME?</v>
      </c>
      <c r="X284" s="80" t="e">
        <f t="shared" si="283"/>
        <v>#NAME?</v>
      </c>
      <c r="Y284" s="80"/>
      <c r="Z284" s="80" t="e">
        <f t="shared" si="284"/>
        <v>#NAME?</v>
      </c>
      <c r="AA284" s="47"/>
      <c r="AB284" s="84"/>
      <c r="AC284" s="83"/>
      <c r="AD284" s="47" t="str">
        <f>IF(AG283&gt;0.005,"March","")</f>
        <v/>
      </c>
      <c r="AE284" s="80">
        <f t="shared" si="285"/>
        <v>0</v>
      </c>
      <c r="AF284" s="80">
        <f t="shared" si="286"/>
        <v>0</v>
      </c>
      <c r="AG284" s="80">
        <f t="shared" si="287"/>
        <v>0</v>
      </c>
      <c r="AH284" s="47"/>
    </row>
    <row r="285" spans="2:34" x14ac:dyDescent="0.25">
      <c r="B285" s="72">
        <v>220</v>
      </c>
      <c r="C285" s="47" t="str">
        <f>IF(F284&gt;0.005,"April","")</f>
        <v>April</v>
      </c>
      <c r="D285" s="80">
        <f t="shared" si="288"/>
        <v>9445.89</v>
      </c>
      <c r="E285" s="80">
        <f t="shared" si="276"/>
        <v>15197.226926226871</v>
      </c>
      <c r="F285" s="80">
        <f t="shared" si="277"/>
        <v>2749452.8231563196</v>
      </c>
      <c r="G285" s="47"/>
      <c r="I285" s="81">
        <f t="shared" si="278"/>
        <v>106.97395710066898</v>
      </c>
      <c r="J285" s="82">
        <f t="shared" si="279"/>
        <v>4.0999999999999999E-4</v>
      </c>
      <c r="K285" s="81"/>
      <c r="L285" s="81">
        <f t="shared" si="280"/>
        <v>3130945.0858732383</v>
      </c>
      <c r="M285" s="83">
        <f t="shared" si="275"/>
        <v>22417.80513700793</v>
      </c>
      <c r="N285" s="84"/>
      <c r="O285" s="72">
        <v>220</v>
      </c>
      <c r="P285" s="47" t="str">
        <f>IF(S284&gt;0.005,"April","")</f>
        <v/>
      </c>
      <c r="Q285" s="80">
        <f t="shared" si="289"/>
        <v>0</v>
      </c>
      <c r="R285" s="80">
        <f t="shared" si="281"/>
        <v>0</v>
      </c>
      <c r="S285" s="80">
        <f t="shared" si="282"/>
        <v>0</v>
      </c>
      <c r="T285" s="47"/>
      <c r="U285" s="84"/>
      <c r="V285" s="72">
        <v>220</v>
      </c>
      <c r="W285" s="47" t="e">
        <f>IF(Z284&gt;0.005,"April","")</f>
        <v>#NAME?</v>
      </c>
      <c r="X285" s="80" t="e">
        <f t="shared" si="283"/>
        <v>#NAME?</v>
      </c>
      <c r="Y285" s="80"/>
      <c r="Z285" s="80" t="e">
        <f t="shared" si="284"/>
        <v>#NAME?</v>
      </c>
      <c r="AA285" s="47"/>
      <c r="AB285" s="84"/>
      <c r="AC285" s="83"/>
      <c r="AD285" s="47" t="str">
        <f>IF(AG284&gt;0.005,"April","")</f>
        <v/>
      </c>
      <c r="AE285" s="80">
        <f t="shared" si="285"/>
        <v>0</v>
      </c>
      <c r="AF285" s="80">
        <f t="shared" si="286"/>
        <v>0</v>
      </c>
      <c r="AG285" s="80">
        <f t="shared" si="287"/>
        <v>0</v>
      </c>
      <c r="AH285" s="47"/>
    </row>
    <row r="286" spans="2:34" x14ac:dyDescent="0.25">
      <c r="B286" s="72">
        <v>221</v>
      </c>
      <c r="C286" s="47" t="str">
        <f>IF(F285&gt;0.005,"May","")</f>
        <v>May</v>
      </c>
      <c r="D286" s="80">
        <f t="shared" si="288"/>
        <v>9393.9599999999991</v>
      </c>
      <c r="E286" s="80">
        <f t="shared" si="276"/>
        <v>15249.156926226871</v>
      </c>
      <c r="F286" s="80">
        <f t="shared" si="277"/>
        <v>2734203.6662300928</v>
      </c>
      <c r="G286" s="47"/>
      <c r="I286" s="81">
        <f t="shared" si="278"/>
        <v>106.97395710066898</v>
      </c>
      <c r="J286" s="82">
        <f t="shared" si="279"/>
        <v>4.0999999999999999E-4</v>
      </c>
      <c r="K286" s="81"/>
      <c r="L286" s="81">
        <f t="shared" si="280"/>
        <v>3130945.0858732383</v>
      </c>
      <c r="M286" s="83">
        <f t="shared" si="275"/>
        <v>22578.698900911073</v>
      </c>
      <c r="N286" s="84"/>
      <c r="O286" s="72">
        <v>221</v>
      </c>
      <c r="P286" s="47" t="str">
        <f>IF(S285&gt;0.005,"May","")</f>
        <v/>
      </c>
      <c r="Q286" s="80">
        <f t="shared" si="289"/>
        <v>0</v>
      </c>
      <c r="R286" s="80">
        <f t="shared" si="281"/>
        <v>0</v>
      </c>
      <c r="S286" s="80">
        <f t="shared" si="282"/>
        <v>0</v>
      </c>
      <c r="T286" s="47"/>
      <c r="U286" s="84"/>
      <c r="V286" s="72">
        <v>221</v>
      </c>
      <c r="W286" s="47" t="e">
        <f>IF(Z285&gt;0.005,"May","")</f>
        <v>#NAME?</v>
      </c>
      <c r="X286" s="80" t="e">
        <f t="shared" si="283"/>
        <v>#NAME?</v>
      </c>
      <c r="Y286" s="80"/>
      <c r="Z286" s="80" t="e">
        <f t="shared" si="284"/>
        <v>#NAME?</v>
      </c>
      <c r="AA286" s="47"/>
      <c r="AB286" s="84"/>
      <c r="AC286" s="83"/>
      <c r="AD286" s="47" t="str">
        <f>IF(AG285&gt;0.005,"May","")</f>
        <v/>
      </c>
      <c r="AE286" s="80">
        <f t="shared" si="285"/>
        <v>0</v>
      </c>
      <c r="AF286" s="80">
        <f t="shared" si="286"/>
        <v>0</v>
      </c>
      <c r="AG286" s="80">
        <f t="shared" si="287"/>
        <v>0</v>
      </c>
      <c r="AH286" s="47"/>
    </row>
    <row r="287" spans="2:34" x14ac:dyDescent="0.25">
      <c r="B287" s="72">
        <v>222</v>
      </c>
      <c r="C287" s="47" t="str">
        <f>IF(F286&gt;0.005,"June","")</f>
        <v>June</v>
      </c>
      <c r="D287" s="80">
        <f t="shared" si="288"/>
        <v>9341.86</v>
      </c>
      <c r="E287" s="80">
        <f t="shared" si="276"/>
        <v>15301.25692622687</v>
      </c>
      <c r="F287" s="80">
        <f t="shared" si="277"/>
        <v>2718902.4093038659</v>
      </c>
      <c r="G287" s="47"/>
      <c r="I287" s="81">
        <f t="shared" si="278"/>
        <v>106.97395710066898</v>
      </c>
      <c r="J287" s="82">
        <f t="shared" si="279"/>
        <v>4.0999999999999999E-4</v>
      </c>
      <c r="K287" s="81"/>
      <c r="L287" s="81">
        <f t="shared" si="280"/>
        <v>3130945.0858732383</v>
      </c>
      <c r="M287" s="83">
        <f t="shared" si="275"/>
        <v>22741.92446290806</v>
      </c>
      <c r="N287" s="84"/>
      <c r="O287" s="72">
        <v>222</v>
      </c>
      <c r="P287" s="47" t="str">
        <f>IF(S286&gt;0.005,"June","")</f>
        <v/>
      </c>
      <c r="Q287" s="80">
        <f t="shared" si="289"/>
        <v>0</v>
      </c>
      <c r="R287" s="80">
        <f t="shared" si="281"/>
        <v>0</v>
      </c>
      <c r="S287" s="80">
        <f t="shared" si="282"/>
        <v>0</v>
      </c>
      <c r="T287" s="47"/>
      <c r="U287" s="84"/>
      <c r="V287" s="72">
        <v>222</v>
      </c>
      <c r="W287" s="47" t="e">
        <f>IF(Z286&gt;0.005,"June","")</f>
        <v>#NAME?</v>
      </c>
      <c r="X287" s="80" t="e">
        <f t="shared" si="283"/>
        <v>#NAME?</v>
      </c>
      <c r="Y287" s="80"/>
      <c r="Z287" s="80" t="e">
        <f t="shared" si="284"/>
        <v>#NAME?</v>
      </c>
      <c r="AA287" s="47"/>
      <c r="AB287" s="84"/>
      <c r="AC287" s="83"/>
      <c r="AD287" s="47" t="str">
        <f>IF(AG286&gt;0.005,"June","")</f>
        <v/>
      </c>
      <c r="AE287" s="80">
        <f t="shared" si="285"/>
        <v>0</v>
      </c>
      <c r="AF287" s="80">
        <f t="shared" si="286"/>
        <v>0</v>
      </c>
      <c r="AG287" s="80">
        <f t="shared" si="287"/>
        <v>0</v>
      </c>
      <c r="AH287" s="47"/>
    </row>
    <row r="288" spans="2:34" x14ac:dyDescent="0.25">
      <c r="B288" s="72">
        <v>223</v>
      </c>
      <c r="C288" s="47" t="str">
        <f>IF(F287&gt;0.005,"July","")</f>
        <v>July</v>
      </c>
      <c r="D288" s="80">
        <f t="shared" si="288"/>
        <v>9289.58</v>
      </c>
      <c r="E288" s="80">
        <f t="shared" si="276"/>
        <v>15353.53692622687</v>
      </c>
      <c r="F288" s="80">
        <f t="shared" si="277"/>
        <v>2703548.8723776392</v>
      </c>
      <c r="G288" s="47"/>
      <c r="I288" s="81">
        <f t="shared" si="278"/>
        <v>106.97395710066898</v>
      </c>
      <c r="J288" s="82">
        <f t="shared" si="279"/>
        <v>4.0999999999999999E-4</v>
      </c>
      <c r="K288" s="81"/>
      <c r="L288" s="81">
        <f t="shared" si="280"/>
        <v>3130945.0858732383</v>
      </c>
      <c r="M288" s="83">
        <f t="shared" si="275"/>
        <v>22907.532884271041</v>
      </c>
      <c r="N288" s="84"/>
      <c r="O288" s="72">
        <v>223</v>
      </c>
      <c r="P288" s="47" t="str">
        <f>IF(S287&gt;0.005,"July","")</f>
        <v/>
      </c>
      <c r="Q288" s="80">
        <f t="shared" si="289"/>
        <v>0</v>
      </c>
      <c r="R288" s="80">
        <f t="shared" si="281"/>
        <v>0</v>
      </c>
      <c r="S288" s="80">
        <f t="shared" si="282"/>
        <v>0</v>
      </c>
      <c r="T288" s="47"/>
      <c r="U288" s="84"/>
      <c r="V288" s="72">
        <v>223</v>
      </c>
      <c r="W288" s="47" t="e">
        <f>IF(Z287&gt;0.005,"July","")</f>
        <v>#NAME?</v>
      </c>
      <c r="X288" s="80" t="e">
        <f t="shared" si="283"/>
        <v>#NAME?</v>
      </c>
      <c r="Y288" s="80"/>
      <c r="Z288" s="80" t="e">
        <f t="shared" si="284"/>
        <v>#NAME?</v>
      </c>
      <c r="AA288" s="47"/>
      <c r="AB288" s="84"/>
      <c r="AC288" s="83"/>
      <c r="AD288" s="47" t="str">
        <f>IF(AG287&gt;0.005,"July","")</f>
        <v/>
      </c>
      <c r="AE288" s="80">
        <f t="shared" si="285"/>
        <v>0</v>
      </c>
      <c r="AF288" s="80">
        <f t="shared" si="286"/>
        <v>0</v>
      </c>
      <c r="AG288" s="80">
        <f t="shared" si="287"/>
        <v>0</v>
      </c>
      <c r="AH288" s="47"/>
    </row>
    <row r="289" spans="2:34" x14ac:dyDescent="0.25">
      <c r="B289" s="72">
        <v>224</v>
      </c>
      <c r="C289" s="47" t="str">
        <f>IF(F288&gt;0.005,"August","")</f>
        <v>August</v>
      </c>
      <c r="D289" s="80">
        <f t="shared" si="288"/>
        <v>9237.1299999999992</v>
      </c>
      <c r="E289" s="80">
        <f t="shared" si="276"/>
        <v>15405.986926226871</v>
      </c>
      <c r="F289" s="80">
        <f t="shared" si="277"/>
        <v>2688142.8854514123</v>
      </c>
      <c r="G289" s="47"/>
      <c r="I289" s="81">
        <f t="shared" si="278"/>
        <v>106.97395710066898</v>
      </c>
      <c r="J289" s="82">
        <f t="shared" si="279"/>
        <v>4.0999999999999999E-4</v>
      </c>
      <c r="K289" s="81"/>
      <c r="L289" s="81">
        <f t="shared" si="280"/>
        <v>3130945.0858732383</v>
      </c>
      <c r="M289" s="83">
        <f t="shared" si="275"/>
        <v>23075.576728074248</v>
      </c>
      <c r="N289" s="84"/>
      <c r="O289" s="72">
        <v>224</v>
      </c>
      <c r="P289" s="47" t="str">
        <f>IF(S288&gt;0.005,"August","")</f>
        <v/>
      </c>
      <c r="Q289" s="80">
        <f t="shared" si="289"/>
        <v>0</v>
      </c>
      <c r="R289" s="80">
        <f t="shared" si="281"/>
        <v>0</v>
      </c>
      <c r="S289" s="80">
        <f t="shared" si="282"/>
        <v>0</v>
      </c>
      <c r="T289" s="47"/>
      <c r="U289" s="84"/>
      <c r="V289" s="72">
        <v>224</v>
      </c>
      <c r="W289" s="47" t="e">
        <f>IF(Z288&gt;0.005,"August","")</f>
        <v>#NAME?</v>
      </c>
      <c r="X289" s="80" t="e">
        <f t="shared" si="283"/>
        <v>#NAME?</v>
      </c>
      <c r="Y289" s="80"/>
      <c r="Z289" s="80" t="e">
        <f t="shared" si="284"/>
        <v>#NAME?</v>
      </c>
      <c r="AA289" s="47"/>
      <c r="AB289" s="84"/>
      <c r="AC289" s="83"/>
      <c r="AD289" s="47" t="str">
        <f>IF(AG288&gt;0.005,"August","")</f>
        <v/>
      </c>
      <c r="AE289" s="80">
        <f t="shared" si="285"/>
        <v>0</v>
      </c>
      <c r="AF289" s="80">
        <f t="shared" si="286"/>
        <v>0</v>
      </c>
      <c r="AG289" s="80">
        <f t="shared" si="287"/>
        <v>0</v>
      </c>
      <c r="AH289" s="47"/>
    </row>
    <row r="290" spans="2:34" x14ac:dyDescent="0.25">
      <c r="B290" s="72">
        <v>225</v>
      </c>
      <c r="C290" s="47" t="str">
        <f>IF(F289&gt;0.005,"September","")</f>
        <v>September</v>
      </c>
      <c r="D290" s="80">
        <f t="shared" si="288"/>
        <v>9184.49</v>
      </c>
      <c r="E290" s="80">
        <f t="shared" si="276"/>
        <v>15458.626926226871</v>
      </c>
      <c r="F290" s="80">
        <f t="shared" si="277"/>
        <v>2672684.2585251853</v>
      </c>
      <c r="G290" s="47"/>
      <c r="I290" s="81">
        <f t="shared" si="278"/>
        <v>106.97395710066898</v>
      </c>
      <c r="J290" s="82">
        <f t="shared" si="279"/>
        <v>4.0999999999999999E-4</v>
      </c>
      <c r="K290" s="81"/>
      <c r="L290" s="81">
        <f t="shared" si="280"/>
        <v>3130945.0858732383</v>
      </c>
      <c r="M290" s="83">
        <f t="shared" si="275"/>
        <v>23246.110114816354</v>
      </c>
      <c r="N290" s="84"/>
      <c r="O290" s="72">
        <v>225</v>
      </c>
      <c r="P290" s="47" t="str">
        <f>IF(S289&gt;0.005,"September","")</f>
        <v/>
      </c>
      <c r="Q290" s="80">
        <f t="shared" si="289"/>
        <v>0</v>
      </c>
      <c r="R290" s="80">
        <f t="shared" si="281"/>
        <v>0</v>
      </c>
      <c r="S290" s="80">
        <f t="shared" si="282"/>
        <v>0</v>
      </c>
      <c r="T290" s="47"/>
      <c r="U290" s="84"/>
      <c r="V290" s="72">
        <v>225</v>
      </c>
      <c r="W290" s="47" t="e">
        <f>IF(Z289&gt;0.005,"September","")</f>
        <v>#NAME?</v>
      </c>
      <c r="X290" s="80" t="e">
        <f t="shared" si="283"/>
        <v>#NAME?</v>
      </c>
      <c r="Y290" s="80"/>
      <c r="Z290" s="80" t="e">
        <f t="shared" si="284"/>
        <v>#NAME?</v>
      </c>
      <c r="AA290" s="47"/>
      <c r="AB290" s="84"/>
      <c r="AC290" s="83"/>
      <c r="AD290" s="47" t="str">
        <f>IF(AG289&gt;0.005,"September","")</f>
        <v/>
      </c>
      <c r="AE290" s="80">
        <f t="shared" si="285"/>
        <v>0</v>
      </c>
      <c r="AF290" s="80">
        <f t="shared" si="286"/>
        <v>0</v>
      </c>
      <c r="AG290" s="80">
        <f t="shared" si="287"/>
        <v>0</v>
      </c>
      <c r="AH290" s="47"/>
    </row>
    <row r="291" spans="2:34" x14ac:dyDescent="0.25">
      <c r="B291" s="72">
        <v>226</v>
      </c>
      <c r="C291" s="47" t="str">
        <f>IF(F290&gt;0.005,"October","")</f>
        <v>October</v>
      </c>
      <c r="D291" s="80">
        <f t="shared" si="288"/>
        <v>9131.67</v>
      </c>
      <c r="E291" s="80">
        <f t="shared" si="276"/>
        <v>15511.44692622687</v>
      </c>
      <c r="F291" s="80">
        <f t="shared" si="277"/>
        <v>2657172.8115989584</v>
      </c>
      <c r="G291" s="47"/>
      <c r="I291" s="81">
        <f t="shared" si="278"/>
        <v>106.97395710066898</v>
      </c>
      <c r="J291" s="82">
        <f t="shared" si="279"/>
        <v>4.0999999999999999E-4</v>
      </c>
      <c r="K291" s="81"/>
      <c r="L291" s="81">
        <f t="shared" si="280"/>
        <v>3130945.0858732383</v>
      </c>
      <c r="M291" s="83">
        <f t="shared" si="275"/>
        <v>23419.188780533314</v>
      </c>
      <c r="N291" s="84"/>
      <c r="O291" s="72">
        <v>226</v>
      </c>
      <c r="P291" s="47" t="str">
        <f>IF(S290&gt;0.005,"October","")</f>
        <v/>
      </c>
      <c r="Q291" s="80">
        <f t="shared" si="289"/>
        <v>0</v>
      </c>
      <c r="R291" s="80">
        <f t="shared" si="281"/>
        <v>0</v>
      </c>
      <c r="S291" s="80">
        <f t="shared" si="282"/>
        <v>0</v>
      </c>
      <c r="T291" s="47"/>
      <c r="U291" s="84"/>
      <c r="V291" s="72">
        <v>226</v>
      </c>
      <c r="W291" s="47" t="e">
        <f>IF(Z290&gt;0.005,"October","")</f>
        <v>#NAME?</v>
      </c>
      <c r="X291" s="80" t="e">
        <f t="shared" si="283"/>
        <v>#NAME?</v>
      </c>
      <c r="Y291" s="80"/>
      <c r="Z291" s="80" t="e">
        <f t="shared" si="284"/>
        <v>#NAME?</v>
      </c>
      <c r="AA291" s="47"/>
      <c r="AB291" s="84"/>
      <c r="AC291" s="83"/>
      <c r="AD291" s="47" t="str">
        <f>IF(AG290&gt;0.005,"October","")</f>
        <v/>
      </c>
      <c r="AE291" s="80">
        <f t="shared" si="285"/>
        <v>0</v>
      </c>
      <c r="AF291" s="80">
        <f t="shared" si="286"/>
        <v>0</v>
      </c>
      <c r="AG291" s="80">
        <f t="shared" si="287"/>
        <v>0</v>
      </c>
      <c r="AH291" s="47"/>
    </row>
    <row r="292" spans="2:34" x14ac:dyDescent="0.25">
      <c r="B292" s="72">
        <v>227</v>
      </c>
      <c r="C292" s="47" t="str">
        <f>IF(F291&gt;0.005,"November","")</f>
        <v>November</v>
      </c>
      <c r="D292" s="80">
        <f t="shared" si="288"/>
        <v>9078.67</v>
      </c>
      <c r="E292" s="80">
        <f t="shared" si="276"/>
        <v>15564.44692622687</v>
      </c>
      <c r="F292" s="80">
        <f t="shared" si="277"/>
        <v>2641608.3646727316</v>
      </c>
      <c r="G292" s="47"/>
      <c r="I292" s="81">
        <f t="shared" si="278"/>
        <v>106.97395710066898</v>
      </c>
      <c r="J292" s="82">
        <f t="shared" si="279"/>
        <v>4.0999999999999999E-4</v>
      </c>
      <c r="K292" s="81"/>
      <c r="L292" s="81">
        <f t="shared" si="280"/>
        <v>3130945.0858732383</v>
      </c>
      <c r="M292" s="83">
        <f t="shared" si="275"/>
        <v>23594.870137532827</v>
      </c>
      <c r="N292" s="84"/>
      <c r="O292" s="72">
        <v>227</v>
      </c>
      <c r="P292" s="47" t="str">
        <f>IF(S291&gt;0.005,"November","")</f>
        <v/>
      </c>
      <c r="Q292" s="80">
        <f t="shared" si="289"/>
        <v>0</v>
      </c>
      <c r="R292" s="80">
        <f t="shared" si="281"/>
        <v>0</v>
      </c>
      <c r="S292" s="80">
        <f t="shared" si="282"/>
        <v>0</v>
      </c>
      <c r="T292" s="47"/>
      <c r="U292" s="84"/>
      <c r="V292" s="72">
        <v>227</v>
      </c>
      <c r="W292" s="47" t="e">
        <f>IF(Z291&gt;0.005,"November","")</f>
        <v>#NAME?</v>
      </c>
      <c r="X292" s="80" t="e">
        <f t="shared" si="283"/>
        <v>#NAME?</v>
      </c>
      <c r="Y292" s="80"/>
      <c r="Z292" s="80" t="e">
        <f t="shared" si="284"/>
        <v>#NAME?</v>
      </c>
      <c r="AA292" s="47"/>
      <c r="AB292" s="84"/>
      <c r="AC292" s="83"/>
      <c r="AD292" s="47" t="str">
        <f>IF(AG291&gt;0.005,"November","")</f>
        <v/>
      </c>
      <c r="AE292" s="80">
        <f t="shared" si="285"/>
        <v>0</v>
      </c>
      <c r="AF292" s="80">
        <f t="shared" si="286"/>
        <v>0</v>
      </c>
      <c r="AG292" s="80">
        <f t="shared" si="287"/>
        <v>0</v>
      </c>
      <c r="AH292" s="47"/>
    </row>
    <row r="293" spans="2:34" x14ac:dyDescent="0.25">
      <c r="B293" s="72">
        <v>228</v>
      </c>
      <c r="C293" s="47" t="str">
        <f>IF(F292&gt;0.005,"December","")</f>
        <v>December</v>
      </c>
      <c r="D293" s="80">
        <f>IF(F292&gt;0,ROUND(F292*($F$6/12),2),0)</f>
        <v>9025.5</v>
      </c>
      <c r="E293" s="80">
        <f t="shared" si="276"/>
        <v>15617.61692622687</v>
      </c>
      <c r="F293" s="80">
        <f t="shared" si="277"/>
        <v>2625990.7477465048</v>
      </c>
      <c r="G293" s="47"/>
      <c r="I293" s="81">
        <f t="shared" si="278"/>
        <v>106.97395710066898</v>
      </c>
      <c r="J293" s="82">
        <f t="shared" si="279"/>
        <v>4.0999999999999999E-4</v>
      </c>
      <c r="K293" s="81"/>
      <c r="L293" s="81">
        <f t="shared" si="280"/>
        <v>3130945.0858732383</v>
      </c>
      <c r="M293" s="83">
        <f t="shared" si="275"/>
        <v>23773.213337889491</v>
      </c>
      <c r="N293" s="84"/>
      <c r="O293" s="72">
        <v>228</v>
      </c>
      <c r="P293" s="47" t="str">
        <f>IF(S292&gt;0.005,"December","")</f>
        <v/>
      </c>
      <c r="Q293" s="80">
        <f t="shared" si="289"/>
        <v>0</v>
      </c>
      <c r="R293" s="80">
        <f t="shared" si="281"/>
        <v>0</v>
      </c>
      <c r="S293" s="80">
        <f t="shared" si="282"/>
        <v>0</v>
      </c>
      <c r="T293" s="47"/>
      <c r="U293" s="84"/>
      <c r="V293" s="72">
        <v>228</v>
      </c>
      <c r="W293" s="47" t="e">
        <f>IF(Z292&gt;0.005,"December","")</f>
        <v>#NAME?</v>
      </c>
      <c r="X293" s="80" t="e">
        <f t="shared" si="283"/>
        <v>#NAME?</v>
      </c>
      <c r="Y293" s="80"/>
      <c r="Z293" s="80" t="e">
        <f t="shared" si="284"/>
        <v>#NAME?</v>
      </c>
      <c r="AA293" s="47"/>
      <c r="AB293" s="84"/>
      <c r="AC293" s="83"/>
      <c r="AD293" s="47" t="str">
        <f>IF(AG292&gt;0.005,"December","")</f>
        <v/>
      </c>
      <c r="AE293" s="80">
        <f t="shared" si="285"/>
        <v>0</v>
      </c>
      <c r="AF293" s="80">
        <f t="shared" si="286"/>
        <v>0</v>
      </c>
      <c r="AG293" s="80">
        <f t="shared" si="287"/>
        <v>0</v>
      </c>
      <c r="AH293" s="47"/>
    </row>
    <row r="294" spans="2:34" x14ac:dyDescent="0.25">
      <c r="B294" s="46"/>
      <c r="C294" s="85" t="str">
        <f>"Total "&amp;YEAR($C$9)+18</f>
        <v>Total 2037</v>
      </c>
      <c r="D294" s="86">
        <f>SUM(D282:D293)</f>
        <v>111776.19</v>
      </c>
      <c r="E294" s="86">
        <f>SUM(E282:E293)</f>
        <v>183941.21311472246</v>
      </c>
      <c r="F294" s="87"/>
      <c r="G294" s="47"/>
      <c r="I294" s="86">
        <f>SUM(I282:I293)</f>
        <v>1283.6874852080275</v>
      </c>
      <c r="J294" s="46"/>
      <c r="K294" s="86">
        <f>SUM(K282:K293)</f>
        <v>0</v>
      </c>
      <c r="L294" s="46"/>
      <c r="M294" s="46"/>
      <c r="O294" s="46"/>
      <c r="P294" s="85" t="str">
        <f>"Total "&amp;YEAR($C$9)+18</f>
        <v>Total 2037</v>
      </c>
      <c r="Q294" s="86">
        <f>SUM(Q282:Q293)</f>
        <v>0</v>
      </c>
      <c r="R294" s="86">
        <f>SUM(R282:R293)</f>
        <v>0</v>
      </c>
      <c r="S294" s="87"/>
      <c r="T294" s="47"/>
      <c r="V294" s="46"/>
      <c r="W294" s="85" t="str">
        <f>"Total "&amp;YEAR($C$9)+18</f>
        <v>Total 2037</v>
      </c>
      <c r="X294" s="86" t="e">
        <f>SUM(X282:X293)</f>
        <v>#NAME?</v>
      </c>
      <c r="Y294" s="86">
        <f>SUM(Y282:Y293)</f>
        <v>0</v>
      </c>
      <c r="Z294" s="87"/>
      <c r="AA294" s="47"/>
      <c r="AC294" s="46"/>
      <c r="AD294" s="85" t="str">
        <f>"Total "&amp;YEAR($C$9)+18</f>
        <v>Total 2037</v>
      </c>
      <c r="AE294" s="86">
        <f>SUM(AE282:AE293)</f>
        <v>0</v>
      </c>
      <c r="AF294" s="86">
        <f>SUM(AF282:AF293)</f>
        <v>0</v>
      </c>
      <c r="AG294" s="87"/>
      <c r="AH294" s="47"/>
    </row>
    <row r="295" spans="2:34" x14ac:dyDescent="0.25">
      <c r="B295" s="46"/>
      <c r="C295" s="47"/>
      <c r="D295" s="80"/>
      <c r="E295" s="80"/>
      <c r="F295" s="80"/>
      <c r="G295" s="47"/>
      <c r="I295" s="46"/>
      <c r="J295" s="46"/>
      <c r="K295" s="46"/>
      <c r="L295" s="46"/>
      <c r="M295" s="46"/>
      <c r="O295" s="46"/>
      <c r="P295" s="47"/>
      <c r="Q295" s="80"/>
      <c r="R295" s="80"/>
      <c r="S295" s="80"/>
      <c r="T295" s="47"/>
      <c r="V295" s="46"/>
      <c r="W295" s="47"/>
      <c r="X295" s="80"/>
      <c r="Y295" s="80"/>
      <c r="Z295" s="80"/>
      <c r="AA295" s="47"/>
      <c r="AC295" s="46"/>
      <c r="AD295" s="47"/>
      <c r="AE295" s="80"/>
      <c r="AF295" s="80"/>
      <c r="AG295" s="80"/>
      <c r="AH295" s="47"/>
    </row>
    <row r="296" spans="2:34" x14ac:dyDescent="0.25">
      <c r="B296" s="46"/>
      <c r="C296" s="47"/>
      <c r="D296" s="75" t="s">
        <v>62</v>
      </c>
      <c r="E296" s="75" t="s">
        <v>63</v>
      </c>
      <c r="F296" s="75" t="s">
        <v>64</v>
      </c>
      <c r="G296" s="47"/>
      <c r="I296" s="46"/>
      <c r="J296" s="46"/>
      <c r="K296" s="46"/>
      <c r="L296" s="46"/>
      <c r="M296" s="46"/>
      <c r="O296" s="46"/>
      <c r="P296" s="47"/>
      <c r="Q296" s="75" t="s">
        <v>62</v>
      </c>
      <c r="R296" s="75" t="s">
        <v>63</v>
      </c>
      <c r="S296" s="75" t="s">
        <v>64</v>
      </c>
      <c r="T296" s="47"/>
      <c r="V296" s="46"/>
      <c r="W296" s="47"/>
      <c r="X296" s="75" t="s">
        <v>62</v>
      </c>
      <c r="Y296" s="75" t="s">
        <v>63</v>
      </c>
      <c r="Z296" s="75" t="s">
        <v>64</v>
      </c>
      <c r="AA296" s="47"/>
      <c r="AC296" s="46"/>
      <c r="AD296" s="47"/>
      <c r="AE296" s="75" t="s">
        <v>62</v>
      </c>
      <c r="AF296" s="75" t="s">
        <v>63</v>
      </c>
      <c r="AG296" s="75" t="s">
        <v>64</v>
      </c>
      <c r="AH296" s="47"/>
    </row>
    <row r="297" spans="2:34" x14ac:dyDescent="0.25">
      <c r="B297" s="72">
        <v>229</v>
      </c>
      <c r="C297" s="47" t="str">
        <f>IF(F293&gt;0.005,"January","")</f>
        <v>January</v>
      </c>
      <c r="D297" s="80">
        <f>IF(F293&gt;0,ROUND(F293*($F$6/12),2),0)</f>
        <v>8972.14</v>
      </c>
      <c r="E297" s="80">
        <f>IF(F293&lt;$D$8,F293,$D$8-D297)</f>
        <v>15670.976926226871</v>
      </c>
      <c r="F297" s="80">
        <f>IF(F293-E297&gt;0,F293-E297,0)</f>
        <v>2610319.7708202777</v>
      </c>
      <c r="G297" s="47"/>
      <c r="I297" s="81">
        <f>L293*J297/12</f>
        <v>106.97395710066898</v>
      </c>
      <c r="J297" s="82">
        <f>$F$6/100</f>
        <v>4.0999999999999999E-4</v>
      </c>
      <c r="K297" s="81"/>
      <c r="L297" s="81">
        <f>MAX(L293+L293*($F$6/100)/12-I297-K297,0)</f>
        <v>3130945.0858732383</v>
      </c>
      <c r="M297" s="83">
        <f t="shared" ref="M297:M308" si="290">-PMT(($F$6/100)/12,$D$7-B297,L297,0,0)</f>
        <v>23954.279339848134</v>
      </c>
      <c r="N297" s="84"/>
      <c r="O297" s="72">
        <v>229</v>
      </c>
      <c r="P297" s="47" t="str">
        <f>IF(S293&gt;0.005,"January","")</f>
        <v/>
      </c>
      <c r="Q297" s="80">
        <f>IF(O297&lt;$S$7,"",IF(O297=$S$7,$Q$6*($S$6/12),S293*($S$6/12)))</f>
        <v>0</v>
      </c>
      <c r="R297" s="80">
        <f>IF(O297&lt;$S$7,"",$Q$8-Q297)</f>
        <v>0</v>
      </c>
      <c r="S297" s="80">
        <f>IF(O297&lt;$S$7,"",IF(O297=$S$7,$Q$6-R297,S293-R297))</f>
        <v>0</v>
      </c>
      <c r="T297" s="47"/>
      <c r="U297" s="84"/>
      <c r="V297" s="72">
        <v>229</v>
      </c>
      <c r="W297" s="47" t="e">
        <f>IF(Z293&gt;0.005,"January","")</f>
        <v>#NAME?</v>
      </c>
      <c r="X297" s="80" t="e">
        <f>IF(V297&lt;$Z$7,"",($Z$6/12)*$X$6)</f>
        <v>#NAME?</v>
      </c>
      <c r="Y297" s="80"/>
      <c r="Z297" s="80" t="e">
        <f>IF(V297&lt;$S$7,"",$X$6)</f>
        <v>#NAME?</v>
      </c>
      <c r="AA297" s="47"/>
      <c r="AB297" s="84"/>
      <c r="AC297" s="83"/>
      <c r="AD297" s="47" t="str">
        <f>IF(AG293&gt;0.005,"January","")</f>
        <v/>
      </c>
      <c r="AE297" s="80">
        <f>IF(AG293&gt;0,ROUND(AG293*($AG$6/1200),2),0)</f>
        <v>0</v>
      </c>
      <c r="AF297" s="80">
        <f>IF(AG293&lt;$AE$8,AG293,$AE$8-AE297)</f>
        <v>0</v>
      </c>
      <c r="AG297" s="80">
        <f>IF(AG293-AF297&gt;0,AG293-AF297,0)</f>
        <v>0</v>
      </c>
      <c r="AH297" s="47"/>
    </row>
    <row r="298" spans="2:34" x14ac:dyDescent="0.25">
      <c r="B298" s="72">
        <v>230</v>
      </c>
      <c r="C298" s="47" t="str">
        <f>IF(F297&gt;0.005,"February","")</f>
        <v>February</v>
      </c>
      <c r="D298" s="80">
        <f>IF(F297&gt;0,ROUND(F297*($F$6/12),2),0)</f>
        <v>8918.59</v>
      </c>
      <c r="E298" s="80">
        <f t="shared" ref="E298:E308" si="291">IF(F297&lt;$D$8,F297,$D$8-D298)</f>
        <v>15724.52692622687</v>
      </c>
      <c r="F298" s="80">
        <f t="shared" ref="F298:F308" si="292">IF(F297-E298&gt;0,F297-E298,0)</f>
        <v>2594595.2438940508</v>
      </c>
      <c r="G298" s="47"/>
      <c r="I298" s="81">
        <f t="shared" ref="I298:I308" si="293">L297*J298/12</f>
        <v>106.97395710066898</v>
      </c>
      <c r="J298" s="82">
        <f t="shared" ref="J298:J308" si="294">$F$6/100</f>
        <v>4.0999999999999999E-4</v>
      </c>
      <c r="K298" s="81"/>
      <c r="L298" s="81">
        <f t="shared" ref="L298:L308" si="295">MAX(L297+L297*($F$6/100)/12-I298-K298,0)</f>
        <v>3130945.0858732383</v>
      </c>
      <c r="M298" s="83">
        <f t="shared" si="290"/>
        <v>24138.130977291872</v>
      </c>
      <c r="N298" s="84"/>
      <c r="O298" s="72">
        <v>230</v>
      </c>
      <c r="P298" s="47" t="str">
        <f>IF(S297&gt;0.005,"February","")</f>
        <v/>
      </c>
      <c r="Q298" s="80">
        <f>IF(O298&lt;$S$7,"",IF(O298=$S$7,$Q$6*($S$6/12),S297*($S$6/12)))</f>
        <v>0</v>
      </c>
      <c r="R298" s="80">
        <f t="shared" ref="R298:R308" si="296">IF(O298&lt;$S$7,"",$Q$8-Q298)</f>
        <v>0</v>
      </c>
      <c r="S298" s="80">
        <f t="shared" ref="S298:S308" si="297">IF(O298&lt;$S$7,"",IF(O298=$S$7,$Q$6-R298,S297-R298))</f>
        <v>0</v>
      </c>
      <c r="T298" s="47"/>
      <c r="U298" s="84"/>
      <c r="V298" s="72">
        <v>230</v>
      </c>
      <c r="W298" s="47" t="e">
        <f>IF(Z297&gt;0.005,"February","")</f>
        <v>#NAME?</v>
      </c>
      <c r="X298" s="80" t="e">
        <f t="shared" ref="X298:X308" si="298">IF(V298&lt;$Z$7,"",($Z$6/12)*$X$6)</f>
        <v>#NAME?</v>
      </c>
      <c r="Y298" s="80"/>
      <c r="Z298" s="80" t="e">
        <f t="shared" ref="Z298:Z308" si="299">IF(V298&lt;$S$7,"",$X$6)</f>
        <v>#NAME?</v>
      </c>
      <c r="AA298" s="47"/>
      <c r="AB298" s="84"/>
      <c r="AC298" s="83"/>
      <c r="AD298" s="47" t="str">
        <f>IF(AG297&gt;0.005,"February","")</f>
        <v/>
      </c>
      <c r="AE298" s="80">
        <f t="shared" ref="AE298:AE308" si="300">IF(AG297&gt;0,ROUND(AG297*($AG$6/1200),2),0)</f>
        <v>0</v>
      </c>
      <c r="AF298" s="80">
        <f t="shared" ref="AF298:AF308" si="301">IF(AG297&lt;$AE$8,AG297,$AE$8-AE298)</f>
        <v>0</v>
      </c>
      <c r="AG298" s="80">
        <f t="shared" ref="AG298:AG308" si="302">IF(AG297-AF298&gt;0,AG297-AF298,0)</f>
        <v>0</v>
      </c>
      <c r="AH298" s="47"/>
    </row>
    <row r="299" spans="2:34" x14ac:dyDescent="0.25">
      <c r="B299" s="72">
        <v>231</v>
      </c>
      <c r="C299" s="47" t="str">
        <f>IF(F298&gt;0.005,"March","")</f>
        <v>March</v>
      </c>
      <c r="D299" s="80">
        <f t="shared" ref="D299:D307" si="303">IF(F298&gt;0,ROUND(F298*($F$6/12),2),0)</f>
        <v>8864.8700000000008</v>
      </c>
      <c r="E299" s="80">
        <f t="shared" si="291"/>
        <v>15778.24692622687</v>
      </c>
      <c r="F299" s="80">
        <f t="shared" si="292"/>
        <v>2578816.9969678242</v>
      </c>
      <c r="G299" s="47"/>
      <c r="I299" s="81">
        <f t="shared" si="293"/>
        <v>106.97395710066898</v>
      </c>
      <c r="J299" s="82">
        <f t="shared" si="294"/>
        <v>4.0999999999999999E-4</v>
      </c>
      <c r="K299" s="81"/>
      <c r="L299" s="81">
        <f t="shared" si="295"/>
        <v>3130945.0858732383</v>
      </c>
      <c r="M299" s="83">
        <f t="shared" si="290"/>
        <v>24324.833032441307</v>
      </c>
      <c r="N299" s="84"/>
      <c r="O299" s="72">
        <v>231</v>
      </c>
      <c r="P299" s="47" t="str">
        <f>IF(S298&gt;0.005,"March","")</f>
        <v/>
      </c>
      <c r="Q299" s="80">
        <f t="shared" ref="Q299:Q308" si="304">IF(O299&lt;$S$7,"",IF(O299=$S$7,$Q$6*($S$6/12),S298*($S$6/12)))</f>
        <v>0</v>
      </c>
      <c r="R299" s="80">
        <f t="shared" si="296"/>
        <v>0</v>
      </c>
      <c r="S299" s="80">
        <f t="shared" si="297"/>
        <v>0</v>
      </c>
      <c r="T299" s="47"/>
      <c r="U299" s="84"/>
      <c r="V299" s="72">
        <v>231</v>
      </c>
      <c r="W299" s="47" t="e">
        <f>IF(Z298&gt;0.005,"March","")</f>
        <v>#NAME?</v>
      </c>
      <c r="X299" s="80" t="e">
        <f t="shared" si="298"/>
        <v>#NAME?</v>
      </c>
      <c r="Y299" s="80"/>
      <c r="Z299" s="80" t="e">
        <f t="shared" si="299"/>
        <v>#NAME?</v>
      </c>
      <c r="AA299" s="47"/>
      <c r="AB299" s="84"/>
      <c r="AC299" s="83"/>
      <c r="AD299" s="47" t="str">
        <f>IF(AG298&gt;0.005,"March","")</f>
        <v/>
      </c>
      <c r="AE299" s="80">
        <f t="shared" si="300"/>
        <v>0</v>
      </c>
      <c r="AF299" s="80">
        <f t="shared" si="301"/>
        <v>0</v>
      </c>
      <c r="AG299" s="80">
        <f t="shared" si="302"/>
        <v>0</v>
      </c>
      <c r="AH299" s="47"/>
    </row>
    <row r="300" spans="2:34" x14ac:dyDescent="0.25">
      <c r="B300" s="72">
        <v>232</v>
      </c>
      <c r="C300" s="47" t="str">
        <f>IF(F299&gt;0.005,"April","")</f>
        <v>April</v>
      </c>
      <c r="D300" s="80">
        <f t="shared" si="303"/>
        <v>8810.9599999999991</v>
      </c>
      <c r="E300" s="80">
        <f t="shared" si="291"/>
        <v>15832.156926226871</v>
      </c>
      <c r="F300" s="80">
        <f t="shared" si="292"/>
        <v>2562984.8400415974</v>
      </c>
      <c r="G300" s="47"/>
      <c r="I300" s="81">
        <f t="shared" si="293"/>
        <v>106.97395710066898</v>
      </c>
      <c r="J300" s="82">
        <f t="shared" si="294"/>
        <v>4.0999999999999999E-4</v>
      </c>
      <c r="K300" s="81"/>
      <c r="L300" s="81">
        <f t="shared" si="295"/>
        <v>3130945.0858732383</v>
      </c>
      <c r="M300" s="83">
        <f t="shared" si="290"/>
        <v>24514.452311961391</v>
      </c>
      <c r="N300" s="84"/>
      <c r="O300" s="72">
        <v>232</v>
      </c>
      <c r="P300" s="47" t="str">
        <f>IF(S299&gt;0.005,"April","")</f>
        <v/>
      </c>
      <c r="Q300" s="80">
        <f t="shared" si="304"/>
        <v>0</v>
      </c>
      <c r="R300" s="80">
        <f t="shared" si="296"/>
        <v>0</v>
      </c>
      <c r="S300" s="80">
        <f t="shared" si="297"/>
        <v>0</v>
      </c>
      <c r="T300" s="47"/>
      <c r="U300" s="84"/>
      <c r="V300" s="72">
        <v>232</v>
      </c>
      <c r="W300" s="47" t="e">
        <f>IF(Z299&gt;0.005,"April","")</f>
        <v>#NAME?</v>
      </c>
      <c r="X300" s="80" t="e">
        <f t="shared" si="298"/>
        <v>#NAME?</v>
      </c>
      <c r="Y300" s="80"/>
      <c r="Z300" s="80" t="e">
        <f t="shared" si="299"/>
        <v>#NAME?</v>
      </c>
      <c r="AA300" s="47"/>
      <c r="AB300" s="84"/>
      <c r="AC300" s="83"/>
      <c r="AD300" s="47" t="str">
        <f>IF(AG299&gt;0.005,"April","")</f>
        <v/>
      </c>
      <c r="AE300" s="80">
        <f t="shared" si="300"/>
        <v>0</v>
      </c>
      <c r="AF300" s="80">
        <f t="shared" si="301"/>
        <v>0</v>
      </c>
      <c r="AG300" s="80">
        <f t="shared" si="302"/>
        <v>0</v>
      </c>
      <c r="AH300" s="47"/>
    </row>
    <row r="301" spans="2:34" x14ac:dyDescent="0.25">
      <c r="B301" s="72">
        <v>233</v>
      </c>
      <c r="C301" s="47" t="str">
        <f>IF(F300&gt;0.005,"May","")</f>
        <v>May</v>
      </c>
      <c r="D301" s="80">
        <f t="shared" si="303"/>
        <v>8756.86</v>
      </c>
      <c r="E301" s="80">
        <f t="shared" si="291"/>
        <v>15886.25692622687</v>
      </c>
      <c r="F301" s="80">
        <f t="shared" si="292"/>
        <v>2547098.5831153705</v>
      </c>
      <c r="G301" s="47"/>
      <c r="I301" s="81">
        <f t="shared" si="293"/>
        <v>106.97395710066898</v>
      </c>
      <c r="J301" s="82">
        <f t="shared" si="294"/>
        <v>4.0999999999999999E-4</v>
      </c>
      <c r="K301" s="81"/>
      <c r="L301" s="81">
        <f t="shared" si="295"/>
        <v>3130945.0858732383</v>
      </c>
      <c r="M301" s="83">
        <f t="shared" si="290"/>
        <v>24707.057726664043</v>
      </c>
      <c r="N301" s="84"/>
      <c r="O301" s="72">
        <v>233</v>
      </c>
      <c r="P301" s="47" t="str">
        <f>IF(S300&gt;0.005,"May","")</f>
        <v/>
      </c>
      <c r="Q301" s="80">
        <f t="shared" si="304"/>
        <v>0</v>
      </c>
      <c r="R301" s="80">
        <f t="shared" si="296"/>
        <v>0</v>
      </c>
      <c r="S301" s="80">
        <f t="shared" si="297"/>
        <v>0</v>
      </c>
      <c r="T301" s="47"/>
      <c r="U301" s="84"/>
      <c r="V301" s="72">
        <v>233</v>
      </c>
      <c r="W301" s="47" t="e">
        <f>IF(Z300&gt;0.005,"May","")</f>
        <v>#NAME?</v>
      </c>
      <c r="X301" s="80" t="e">
        <f t="shared" si="298"/>
        <v>#NAME?</v>
      </c>
      <c r="Y301" s="80"/>
      <c r="Z301" s="80" t="e">
        <f t="shared" si="299"/>
        <v>#NAME?</v>
      </c>
      <c r="AA301" s="47"/>
      <c r="AB301" s="84"/>
      <c r="AC301" s="83"/>
      <c r="AD301" s="47" t="str">
        <f>IF(AG300&gt;0.005,"May","")</f>
        <v/>
      </c>
      <c r="AE301" s="80">
        <f t="shared" si="300"/>
        <v>0</v>
      </c>
      <c r="AF301" s="80">
        <f t="shared" si="301"/>
        <v>0</v>
      </c>
      <c r="AG301" s="80">
        <f t="shared" si="302"/>
        <v>0</v>
      </c>
      <c r="AH301" s="47"/>
    </row>
    <row r="302" spans="2:34" x14ac:dyDescent="0.25">
      <c r="B302" s="72">
        <v>234</v>
      </c>
      <c r="C302" s="47" t="str">
        <f>IF(F301&gt;0.005,"June","")</f>
        <v>June</v>
      </c>
      <c r="D302" s="80">
        <f t="shared" si="303"/>
        <v>8702.59</v>
      </c>
      <c r="E302" s="80">
        <f t="shared" si="291"/>
        <v>15940.52692622687</v>
      </c>
      <c r="F302" s="80">
        <f t="shared" si="292"/>
        <v>2531158.0561891436</v>
      </c>
      <c r="G302" s="47"/>
      <c r="I302" s="81">
        <f t="shared" si="293"/>
        <v>106.97395710066898</v>
      </c>
      <c r="J302" s="82">
        <f t="shared" si="294"/>
        <v>4.0999999999999999E-4</v>
      </c>
      <c r="K302" s="81"/>
      <c r="L302" s="81">
        <f t="shared" si="295"/>
        <v>3130945.0858732383</v>
      </c>
      <c r="M302" s="83">
        <f t="shared" si="290"/>
        <v>24902.720375005993</v>
      </c>
      <c r="N302" s="84"/>
      <c r="O302" s="72">
        <v>234</v>
      </c>
      <c r="P302" s="47" t="str">
        <f>IF(S301&gt;0.005,"June","")</f>
        <v/>
      </c>
      <c r="Q302" s="80">
        <f t="shared" si="304"/>
        <v>0</v>
      </c>
      <c r="R302" s="80">
        <f t="shared" si="296"/>
        <v>0</v>
      </c>
      <c r="S302" s="80">
        <f t="shared" si="297"/>
        <v>0</v>
      </c>
      <c r="T302" s="47"/>
      <c r="U302" s="84"/>
      <c r="V302" s="72">
        <v>234</v>
      </c>
      <c r="W302" s="47" t="e">
        <f>IF(Z301&gt;0.005,"June","")</f>
        <v>#NAME?</v>
      </c>
      <c r="X302" s="80" t="e">
        <f t="shared" si="298"/>
        <v>#NAME?</v>
      </c>
      <c r="Y302" s="80"/>
      <c r="Z302" s="80" t="e">
        <f t="shared" si="299"/>
        <v>#NAME?</v>
      </c>
      <c r="AA302" s="47"/>
      <c r="AB302" s="84"/>
      <c r="AC302" s="83"/>
      <c r="AD302" s="47" t="str">
        <f>IF(AG301&gt;0.005,"June","")</f>
        <v/>
      </c>
      <c r="AE302" s="80">
        <f t="shared" si="300"/>
        <v>0</v>
      </c>
      <c r="AF302" s="80">
        <f t="shared" si="301"/>
        <v>0</v>
      </c>
      <c r="AG302" s="80">
        <f t="shared" si="302"/>
        <v>0</v>
      </c>
      <c r="AH302" s="47"/>
    </row>
    <row r="303" spans="2:34" x14ac:dyDescent="0.25">
      <c r="B303" s="72">
        <v>235</v>
      </c>
      <c r="C303" s="47" t="str">
        <f>IF(F302&gt;0.005,"July","")</f>
        <v>July</v>
      </c>
      <c r="D303" s="80">
        <f t="shared" si="303"/>
        <v>8648.1200000000008</v>
      </c>
      <c r="E303" s="80">
        <f t="shared" si="291"/>
        <v>15994.99692622687</v>
      </c>
      <c r="F303" s="80">
        <f t="shared" si="292"/>
        <v>2515163.0592629169</v>
      </c>
      <c r="G303" s="47"/>
      <c r="I303" s="81">
        <f t="shared" si="293"/>
        <v>106.97395710066898</v>
      </c>
      <c r="J303" s="82">
        <f t="shared" si="294"/>
        <v>4.0999999999999999E-4</v>
      </c>
      <c r="K303" s="81"/>
      <c r="L303" s="81">
        <f t="shared" si="295"/>
        <v>3130945.0858732383</v>
      </c>
      <c r="M303" s="83">
        <f t="shared" si="290"/>
        <v>25101.513630594574</v>
      </c>
      <c r="N303" s="84"/>
      <c r="O303" s="72">
        <v>235</v>
      </c>
      <c r="P303" s="47" t="str">
        <f>IF(S302&gt;0.005,"July","")</f>
        <v/>
      </c>
      <c r="Q303" s="80">
        <f t="shared" si="304"/>
        <v>0</v>
      </c>
      <c r="R303" s="80">
        <f t="shared" si="296"/>
        <v>0</v>
      </c>
      <c r="S303" s="80">
        <f t="shared" si="297"/>
        <v>0</v>
      </c>
      <c r="T303" s="47"/>
      <c r="U303" s="84"/>
      <c r="V303" s="72">
        <v>235</v>
      </c>
      <c r="W303" s="47" t="e">
        <f>IF(Z302&gt;0.005,"July","")</f>
        <v>#NAME?</v>
      </c>
      <c r="X303" s="80" t="e">
        <f t="shared" si="298"/>
        <v>#NAME?</v>
      </c>
      <c r="Y303" s="80"/>
      <c r="Z303" s="80" t="e">
        <f t="shared" si="299"/>
        <v>#NAME?</v>
      </c>
      <c r="AA303" s="47"/>
      <c r="AB303" s="84"/>
      <c r="AC303" s="83"/>
      <c r="AD303" s="47" t="str">
        <f>IF(AG302&gt;0.005,"July","")</f>
        <v/>
      </c>
      <c r="AE303" s="80">
        <f t="shared" si="300"/>
        <v>0</v>
      </c>
      <c r="AF303" s="80">
        <f t="shared" si="301"/>
        <v>0</v>
      </c>
      <c r="AG303" s="80">
        <f t="shared" si="302"/>
        <v>0</v>
      </c>
      <c r="AH303" s="47"/>
    </row>
    <row r="304" spans="2:34" x14ac:dyDescent="0.25">
      <c r="B304" s="72">
        <v>236</v>
      </c>
      <c r="C304" s="47" t="str">
        <f>IF(F303&gt;0.005,"August","")</f>
        <v>August</v>
      </c>
      <c r="D304" s="80">
        <f t="shared" si="303"/>
        <v>8593.4699999999993</v>
      </c>
      <c r="E304" s="80">
        <f t="shared" si="291"/>
        <v>16049.646926226871</v>
      </c>
      <c r="F304" s="80">
        <f t="shared" si="292"/>
        <v>2499113.4123366899</v>
      </c>
      <c r="G304" s="47"/>
      <c r="I304" s="81">
        <f t="shared" si="293"/>
        <v>106.97395710066898</v>
      </c>
      <c r="J304" s="82">
        <f t="shared" si="294"/>
        <v>4.0999999999999999E-4</v>
      </c>
      <c r="K304" s="81"/>
      <c r="L304" s="81">
        <f t="shared" si="295"/>
        <v>3130945.0858732383</v>
      </c>
      <c r="M304" s="83">
        <f t="shared" si="290"/>
        <v>25303.513233927697</v>
      </c>
      <c r="N304" s="84"/>
      <c r="O304" s="72">
        <v>236</v>
      </c>
      <c r="P304" s="47" t="str">
        <f>IF(S303&gt;0.005,"August","")</f>
        <v/>
      </c>
      <c r="Q304" s="80">
        <f t="shared" si="304"/>
        <v>0</v>
      </c>
      <c r="R304" s="80">
        <f t="shared" si="296"/>
        <v>0</v>
      </c>
      <c r="S304" s="80">
        <f t="shared" si="297"/>
        <v>0</v>
      </c>
      <c r="T304" s="47"/>
      <c r="U304" s="84"/>
      <c r="V304" s="72">
        <v>236</v>
      </c>
      <c r="W304" s="47" t="e">
        <f>IF(Z303&gt;0.005,"August","")</f>
        <v>#NAME?</v>
      </c>
      <c r="X304" s="80" t="e">
        <f t="shared" si="298"/>
        <v>#NAME?</v>
      </c>
      <c r="Y304" s="80"/>
      <c r="Z304" s="80" t="e">
        <f t="shared" si="299"/>
        <v>#NAME?</v>
      </c>
      <c r="AA304" s="47"/>
      <c r="AB304" s="84"/>
      <c r="AC304" s="83"/>
      <c r="AD304" s="47" t="str">
        <f>IF(AG303&gt;0.005,"August","")</f>
        <v/>
      </c>
      <c r="AE304" s="80">
        <f t="shared" si="300"/>
        <v>0</v>
      </c>
      <c r="AF304" s="80">
        <f t="shared" si="301"/>
        <v>0</v>
      </c>
      <c r="AG304" s="80">
        <f t="shared" si="302"/>
        <v>0</v>
      </c>
      <c r="AH304" s="47"/>
    </row>
    <row r="305" spans="2:34" x14ac:dyDescent="0.25">
      <c r="B305" s="72">
        <v>237</v>
      </c>
      <c r="C305" s="47" t="str">
        <f>IF(F304&gt;0.005,"September","")</f>
        <v>September</v>
      </c>
      <c r="D305" s="80">
        <f t="shared" si="303"/>
        <v>8538.64</v>
      </c>
      <c r="E305" s="80">
        <f t="shared" si="291"/>
        <v>16104.476926226871</v>
      </c>
      <c r="F305" s="80">
        <f t="shared" si="292"/>
        <v>2483008.9354104628</v>
      </c>
      <c r="G305" s="47"/>
      <c r="I305" s="81">
        <f t="shared" si="293"/>
        <v>106.97395710066898</v>
      </c>
      <c r="J305" s="82">
        <f t="shared" si="294"/>
        <v>4.0999999999999999E-4</v>
      </c>
      <c r="K305" s="81"/>
      <c r="L305" s="81">
        <f t="shared" si="295"/>
        <v>3130945.0858732383</v>
      </c>
      <c r="M305" s="83">
        <f t="shared" si="290"/>
        <v>25508.797388608884</v>
      </c>
      <c r="N305" s="84"/>
      <c r="O305" s="72">
        <v>237</v>
      </c>
      <c r="P305" s="47" t="str">
        <f>IF(S304&gt;0.005,"September","")</f>
        <v/>
      </c>
      <c r="Q305" s="80">
        <f t="shared" si="304"/>
        <v>0</v>
      </c>
      <c r="R305" s="80">
        <f t="shared" si="296"/>
        <v>0</v>
      </c>
      <c r="S305" s="80">
        <f t="shared" si="297"/>
        <v>0</v>
      </c>
      <c r="T305" s="47"/>
      <c r="U305" s="84"/>
      <c r="V305" s="72">
        <v>237</v>
      </c>
      <c r="W305" s="47" t="e">
        <f>IF(Z304&gt;0.005,"September","")</f>
        <v>#NAME?</v>
      </c>
      <c r="X305" s="80" t="e">
        <f t="shared" si="298"/>
        <v>#NAME?</v>
      </c>
      <c r="Y305" s="80"/>
      <c r="Z305" s="80" t="e">
        <f t="shared" si="299"/>
        <v>#NAME?</v>
      </c>
      <c r="AA305" s="47"/>
      <c r="AB305" s="84"/>
      <c r="AC305" s="83"/>
      <c r="AD305" s="47" t="str">
        <f>IF(AG304&gt;0.005,"September","")</f>
        <v/>
      </c>
      <c r="AE305" s="80">
        <f t="shared" si="300"/>
        <v>0</v>
      </c>
      <c r="AF305" s="80">
        <f t="shared" si="301"/>
        <v>0</v>
      </c>
      <c r="AG305" s="80">
        <f t="shared" si="302"/>
        <v>0</v>
      </c>
      <c r="AH305" s="47"/>
    </row>
    <row r="306" spans="2:34" x14ac:dyDescent="0.25">
      <c r="B306" s="72">
        <v>238</v>
      </c>
      <c r="C306" s="47" t="str">
        <f>IF(F305&gt;0.005,"October","")</f>
        <v>October</v>
      </c>
      <c r="D306" s="80">
        <f t="shared" si="303"/>
        <v>8483.61</v>
      </c>
      <c r="E306" s="80">
        <f t="shared" si="291"/>
        <v>16159.50692622687</v>
      </c>
      <c r="F306" s="80">
        <f t="shared" si="292"/>
        <v>2466849.4284842359</v>
      </c>
      <c r="G306" s="47"/>
      <c r="I306" s="81">
        <f t="shared" si="293"/>
        <v>106.97395710066898</v>
      </c>
      <c r="J306" s="82">
        <f t="shared" si="294"/>
        <v>4.0999999999999999E-4</v>
      </c>
      <c r="K306" s="81"/>
      <c r="L306" s="81">
        <f t="shared" si="295"/>
        <v>3130945.0858732383</v>
      </c>
      <c r="M306" s="83">
        <f t="shared" si="290"/>
        <v>25717.44686229424</v>
      </c>
      <c r="N306" s="84"/>
      <c r="O306" s="72">
        <v>238</v>
      </c>
      <c r="P306" s="47" t="str">
        <f>IF(S305&gt;0.005,"October","")</f>
        <v/>
      </c>
      <c r="Q306" s="80">
        <f t="shared" si="304"/>
        <v>0</v>
      </c>
      <c r="R306" s="80">
        <f t="shared" si="296"/>
        <v>0</v>
      </c>
      <c r="S306" s="80">
        <f t="shared" si="297"/>
        <v>0</v>
      </c>
      <c r="T306" s="47"/>
      <c r="U306" s="84"/>
      <c r="V306" s="72">
        <v>238</v>
      </c>
      <c r="W306" s="47" t="e">
        <f>IF(Z305&gt;0.005,"October","")</f>
        <v>#NAME?</v>
      </c>
      <c r="X306" s="80" t="e">
        <f t="shared" si="298"/>
        <v>#NAME?</v>
      </c>
      <c r="Y306" s="80"/>
      <c r="Z306" s="80" t="e">
        <f t="shared" si="299"/>
        <v>#NAME?</v>
      </c>
      <c r="AA306" s="47"/>
      <c r="AB306" s="84"/>
      <c r="AC306" s="83"/>
      <c r="AD306" s="47" t="str">
        <f>IF(AG305&gt;0.005,"October","")</f>
        <v/>
      </c>
      <c r="AE306" s="80">
        <f t="shared" si="300"/>
        <v>0</v>
      </c>
      <c r="AF306" s="80">
        <f t="shared" si="301"/>
        <v>0</v>
      </c>
      <c r="AG306" s="80">
        <f t="shared" si="302"/>
        <v>0</v>
      </c>
      <c r="AH306" s="47"/>
    </row>
    <row r="307" spans="2:34" x14ac:dyDescent="0.25">
      <c r="B307" s="72">
        <v>239</v>
      </c>
      <c r="C307" s="47" t="str">
        <f>IF(F306&gt;0.005,"November","")</f>
        <v>November</v>
      </c>
      <c r="D307" s="80">
        <f t="shared" si="303"/>
        <v>8428.4</v>
      </c>
      <c r="E307" s="80">
        <f t="shared" si="291"/>
        <v>16214.716926226871</v>
      </c>
      <c r="F307" s="80">
        <f t="shared" si="292"/>
        <v>2450634.711558009</v>
      </c>
      <c r="G307" s="47"/>
      <c r="I307" s="81">
        <f t="shared" si="293"/>
        <v>106.97395710066898</v>
      </c>
      <c r="J307" s="82">
        <f t="shared" si="294"/>
        <v>4.0999999999999999E-4</v>
      </c>
      <c r="K307" s="81"/>
      <c r="L307" s="81">
        <f t="shared" si="295"/>
        <v>3130945.0858732383</v>
      </c>
      <c r="M307" s="83">
        <f t="shared" si="290"/>
        <v>25929.545092645025</v>
      </c>
      <c r="N307" s="84"/>
      <c r="O307" s="72">
        <v>239</v>
      </c>
      <c r="P307" s="47" t="str">
        <f>IF(S306&gt;0.005,"November","")</f>
        <v/>
      </c>
      <c r="Q307" s="80">
        <f t="shared" si="304"/>
        <v>0</v>
      </c>
      <c r="R307" s="80">
        <f t="shared" si="296"/>
        <v>0</v>
      </c>
      <c r="S307" s="80">
        <f t="shared" si="297"/>
        <v>0</v>
      </c>
      <c r="T307" s="47"/>
      <c r="U307" s="84"/>
      <c r="V307" s="72">
        <v>239</v>
      </c>
      <c r="W307" s="47" t="e">
        <f>IF(Z306&gt;0.005,"November","")</f>
        <v>#NAME?</v>
      </c>
      <c r="X307" s="80" t="e">
        <f t="shared" si="298"/>
        <v>#NAME?</v>
      </c>
      <c r="Y307" s="80"/>
      <c r="Z307" s="80" t="e">
        <f t="shared" si="299"/>
        <v>#NAME?</v>
      </c>
      <c r="AA307" s="47"/>
      <c r="AB307" s="84"/>
      <c r="AC307" s="83"/>
      <c r="AD307" s="47" t="str">
        <f>IF(AG306&gt;0.005,"November","")</f>
        <v/>
      </c>
      <c r="AE307" s="80">
        <f t="shared" si="300"/>
        <v>0</v>
      </c>
      <c r="AF307" s="80">
        <f t="shared" si="301"/>
        <v>0</v>
      </c>
      <c r="AG307" s="80">
        <f t="shared" si="302"/>
        <v>0</v>
      </c>
      <c r="AH307" s="47"/>
    </row>
    <row r="308" spans="2:34" x14ac:dyDescent="0.25">
      <c r="B308" s="72">
        <v>240</v>
      </c>
      <c r="C308" s="47" t="str">
        <f>IF(F307&gt;0.005,"December","")</f>
        <v>December</v>
      </c>
      <c r="D308" s="80">
        <f>IF(F307&gt;0,ROUND(F307*($F$6/12),2),0)</f>
        <v>8373</v>
      </c>
      <c r="E308" s="80">
        <f t="shared" si="291"/>
        <v>16270.11692622687</v>
      </c>
      <c r="F308" s="80">
        <f t="shared" si="292"/>
        <v>2434364.5946317823</v>
      </c>
      <c r="G308" s="47"/>
      <c r="I308" s="81">
        <f t="shared" si="293"/>
        <v>106.97395710066898</v>
      </c>
      <c r="J308" s="82">
        <f t="shared" si="294"/>
        <v>4.0999999999999999E-4</v>
      </c>
      <c r="K308" s="81"/>
      <c r="L308" s="81">
        <f t="shared" si="295"/>
        <v>3130945.0858732383</v>
      </c>
      <c r="M308" s="83">
        <f t="shared" si="290"/>
        <v>26145.178298577855</v>
      </c>
      <c r="N308" s="84"/>
      <c r="O308" s="72">
        <v>240</v>
      </c>
      <c r="P308" s="47" t="str">
        <f>IF(S307&gt;0.005,"December","")</f>
        <v/>
      </c>
      <c r="Q308" s="80">
        <f t="shared" si="304"/>
        <v>0</v>
      </c>
      <c r="R308" s="80">
        <f t="shared" si="296"/>
        <v>0</v>
      </c>
      <c r="S308" s="80">
        <f t="shared" si="297"/>
        <v>0</v>
      </c>
      <c r="T308" s="47"/>
      <c r="U308" s="84"/>
      <c r="V308" s="72">
        <v>240</v>
      </c>
      <c r="W308" s="47" t="e">
        <f>IF(Z307&gt;0.005,"December","")</f>
        <v>#NAME?</v>
      </c>
      <c r="X308" s="80" t="e">
        <f t="shared" si="298"/>
        <v>#NAME?</v>
      </c>
      <c r="Y308" s="80"/>
      <c r="Z308" s="80" t="e">
        <f t="shared" si="299"/>
        <v>#NAME?</v>
      </c>
      <c r="AA308" s="47"/>
      <c r="AB308" s="84"/>
      <c r="AC308" s="83"/>
      <c r="AD308" s="47" t="str">
        <f>IF(AG307&gt;0.005,"December","")</f>
        <v/>
      </c>
      <c r="AE308" s="80">
        <f t="shared" si="300"/>
        <v>0</v>
      </c>
      <c r="AF308" s="80">
        <f t="shared" si="301"/>
        <v>0</v>
      </c>
      <c r="AG308" s="80">
        <f t="shared" si="302"/>
        <v>0</v>
      </c>
      <c r="AH308" s="47"/>
    </row>
    <row r="309" spans="2:34" x14ac:dyDescent="0.25">
      <c r="B309" s="46"/>
      <c r="C309" s="85" t="str">
        <f>"Total "&amp;YEAR($C$9)+19</f>
        <v>Total 2038</v>
      </c>
      <c r="D309" s="86">
        <f>SUM(D297:D308)</f>
        <v>104091.24999999999</v>
      </c>
      <c r="E309" s="86">
        <f>SUM(E297:E308)</f>
        <v>191626.15311472243</v>
      </c>
      <c r="F309" s="87"/>
      <c r="G309" s="47"/>
      <c r="I309" s="86">
        <f>SUM(I297:I308)</f>
        <v>1283.6874852080275</v>
      </c>
      <c r="J309" s="46"/>
      <c r="K309" s="86">
        <f>SUM(K297:K308)</f>
        <v>0</v>
      </c>
      <c r="L309" s="46"/>
      <c r="M309" s="46"/>
      <c r="O309" s="46"/>
      <c r="P309" s="85" t="str">
        <f>"Total "&amp;YEAR($C$9)+19</f>
        <v>Total 2038</v>
      </c>
      <c r="Q309" s="86">
        <f>SUM(Q297:Q308)</f>
        <v>0</v>
      </c>
      <c r="R309" s="86">
        <f>SUM(R297:R308)</f>
        <v>0</v>
      </c>
      <c r="S309" s="87"/>
      <c r="T309" s="47"/>
      <c r="V309" s="46"/>
      <c r="W309" s="85" t="str">
        <f>"Total "&amp;YEAR($C$9)+19</f>
        <v>Total 2038</v>
      </c>
      <c r="X309" s="86" t="e">
        <f>SUM(X297:X308)</f>
        <v>#NAME?</v>
      </c>
      <c r="Y309" s="86">
        <f>SUM(Y297:Y308)</f>
        <v>0</v>
      </c>
      <c r="Z309" s="87"/>
      <c r="AA309" s="47"/>
      <c r="AC309" s="46"/>
      <c r="AD309" s="85" t="str">
        <f>"Total "&amp;YEAR($C$9)+19</f>
        <v>Total 2038</v>
      </c>
      <c r="AE309" s="86">
        <f>SUM(AE297:AE308)</f>
        <v>0</v>
      </c>
      <c r="AF309" s="86">
        <f>SUM(AF297:AF308)</f>
        <v>0</v>
      </c>
      <c r="AG309" s="87"/>
      <c r="AH309" s="47"/>
    </row>
    <row r="310" spans="2:34" x14ac:dyDescent="0.25">
      <c r="B310" s="46"/>
      <c r="C310" s="50"/>
      <c r="D310" s="88"/>
      <c r="E310" s="88"/>
      <c r="F310" s="80"/>
      <c r="G310" s="47"/>
      <c r="I310" s="46"/>
      <c r="J310" s="46"/>
      <c r="K310" s="46"/>
      <c r="L310" s="46"/>
      <c r="M310" s="46"/>
      <c r="O310" s="46"/>
      <c r="P310" s="50"/>
      <c r="Q310" s="88"/>
      <c r="R310" s="88"/>
      <c r="S310" s="80"/>
      <c r="T310" s="47"/>
      <c r="V310" s="46"/>
      <c r="W310" s="50"/>
      <c r="X310" s="88"/>
      <c r="Y310" s="88"/>
      <c r="Z310" s="80"/>
      <c r="AA310" s="47"/>
      <c r="AC310" s="46"/>
      <c r="AD310" s="50"/>
      <c r="AE310" s="88"/>
      <c r="AF310" s="88"/>
      <c r="AG310" s="80"/>
      <c r="AH310" s="47"/>
    </row>
    <row r="311" spans="2:34" x14ac:dyDescent="0.25">
      <c r="B311" s="46"/>
      <c r="C311" s="47"/>
      <c r="D311" s="75" t="s">
        <v>62</v>
      </c>
      <c r="E311" s="75" t="s">
        <v>63</v>
      </c>
      <c r="F311" s="75" t="s">
        <v>64</v>
      </c>
      <c r="G311" s="47"/>
      <c r="I311" s="46"/>
      <c r="J311" s="46"/>
      <c r="K311" s="46"/>
      <c r="L311" s="46"/>
      <c r="M311" s="46"/>
      <c r="O311" s="46"/>
      <c r="P311" s="47"/>
      <c r="Q311" s="75" t="s">
        <v>62</v>
      </c>
      <c r="R311" s="75" t="s">
        <v>63</v>
      </c>
      <c r="S311" s="75" t="s">
        <v>64</v>
      </c>
      <c r="T311" s="47"/>
      <c r="V311" s="46"/>
      <c r="W311" s="47"/>
      <c r="X311" s="75" t="s">
        <v>62</v>
      </c>
      <c r="Y311" s="75" t="s">
        <v>63</v>
      </c>
      <c r="Z311" s="75" t="s">
        <v>64</v>
      </c>
      <c r="AA311" s="47"/>
      <c r="AC311" s="46"/>
      <c r="AD311" s="47"/>
      <c r="AE311" s="75" t="s">
        <v>62</v>
      </c>
      <c r="AF311" s="75" t="s">
        <v>63</v>
      </c>
      <c r="AG311" s="75" t="s">
        <v>64</v>
      </c>
      <c r="AH311" s="47"/>
    </row>
    <row r="312" spans="2:34" x14ac:dyDescent="0.25">
      <c r="B312" s="72">
        <v>241</v>
      </c>
      <c r="C312" s="47" t="str">
        <f>IF(F308&gt;0.005,"January","")</f>
        <v>January</v>
      </c>
      <c r="D312" s="80">
        <f>IF(F308&gt;0,ROUND(F308*($F$6/12),2),0)</f>
        <v>8317.41</v>
      </c>
      <c r="E312" s="80">
        <f>IF(F308&lt;$D$8,F308,$D$8-D312)</f>
        <v>16325.706926226871</v>
      </c>
      <c r="F312" s="80">
        <f>IF(F308-E312&gt;0,F308-E312,0)</f>
        <v>2418038.8877055552</v>
      </c>
      <c r="G312" s="47"/>
      <c r="I312" s="81">
        <f>L308*J312/12</f>
        <v>106.97395710066898</v>
      </c>
      <c r="J312" s="82">
        <f>$F$6/100</f>
        <v>4.0999999999999999E-4</v>
      </c>
      <c r="K312" s="81"/>
      <c r="L312" s="81">
        <f>MAX(L308+L308*($F$6/100)/12-I312-K312,0)</f>
        <v>3130945.0858732383</v>
      </c>
      <c r="M312" s="83">
        <f t="shared" ref="M312:M323" si="305">-PMT(($F$6/100)/12,$D$7-B312,L312,0,0)</f>
        <v>26364.43559712424</v>
      </c>
      <c r="N312" s="84"/>
      <c r="O312" s="72">
        <v>241</v>
      </c>
      <c r="P312" s="47" t="str">
        <f>IF(S308&gt;0.005,"January","")</f>
        <v/>
      </c>
      <c r="Q312" s="80">
        <f>IF(O312&lt;$S$7,"",IF(O312=$S$7,$Q$6*($S$6/12),S308*($S$6/12)))</f>
        <v>0</v>
      </c>
      <c r="R312" s="80">
        <f>IF(O312&lt;$S$7,"",$Q$8-Q312)</f>
        <v>0</v>
      </c>
      <c r="S312" s="80">
        <f>IF(O312&lt;$S$7,"",IF(O312=$S$7,$Q$6-R312,S308-R312))</f>
        <v>0</v>
      </c>
      <c r="T312" s="47"/>
      <c r="U312" s="84"/>
      <c r="V312" s="72">
        <v>241</v>
      </c>
      <c r="W312" s="47" t="e">
        <f>IF(Z308&gt;0.005,"January","")</f>
        <v>#NAME?</v>
      </c>
      <c r="X312" s="80" t="e">
        <f>IF(V312&lt;$Z$7,"",($Z$6/12)*$X$6)</f>
        <v>#NAME?</v>
      </c>
      <c r="Y312" s="80"/>
      <c r="Z312" s="80" t="e">
        <f>IF(V312&lt;$S$7,"",$X$6)</f>
        <v>#NAME?</v>
      </c>
      <c r="AA312" s="47"/>
      <c r="AB312" s="84"/>
      <c r="AC312" s="83"/>
      <c r="AD312" s="47" t="str">
        <f>IF(AG308&gt;0.005,"January","")</f>
        <v/>
      </c>
      <c r="AE312" s="80">
        <f>IF(AG308&gt;0,ROUND(AG308*($AG$6/1200),2),0)</f>
        <v>0</v>
      </c>
      <c r="AF312" s="80">
        <f>IF(AG308&lt;$AE$8,AG308,$AE$8-AE312)</f>
        <v>0</v>
      </c>
      <c r="AG312" s="80">
        <f>IF(AG308-AF312&gt;0,AG308-AF312,0)</f>
        <v>0</v>
      </c>
      <c r="AH312" s="47"/>
    </row>
    <row r="313" spans="2:34" x14ac:dyDescent="0.25">
      <c r="B313" s="72">
        <v>242</v>
      </c>
      <c r="C313" s="47" t="str">
        <f>IF(F312&gt;0.005,"February","")</f>
        <v>February</v>
      </c>
      <c r="D313" s="80">
        <f>IF(F312&gt;0,ROUND(F312*($F$6/12),2),0)</f>
        <v>8261.6299999999992</v>
      </c>
      <c r="E313" s="80">
        <f t="shared" ref="E313:E323" si="306">IF(F312&lt;$D$8,F312,$D$8-D313)</f>
        <v>16381.486926226871</v>
      </c>
      <c r="F313" s="80">
        <f t="shared" ref="F313:F323" si="307">IF(F312-E313&gt;0,F312-E313,0)</f>
        <v>2401657.4007793283</v>
      </c>
      <c r="G313" s="47"/>
      <c r="I313" s="81">
        <f t="shared" ref="I313:I323" si="308">L312*J313/12</f>
        <v>106.97395710066898</v>
      </c>
      <c r="J313" s="82">
        <f t="shared" ref="J313:J323" si="309">$F$6/100</f>
        <v>4.0999999999999999E-4</v>
      </c>
      <c r="K313" s="81"/>
      <c r="L313" s="81">
        <f t="shared" ref="L313:L323" si="310">MAX(L312+L312*($F$6/100)/12-I313-K313,0)</f>
        <v>3130945.0858732383</v>
      </c>
      <c r="M313" s="83">
        <f t="shared" si="305"/>
        <v>26587.409126231963</v>
      </c>
      <c r="N313" s="84"/>
      <c r="O313" s="72">
        <v>242</v>
      </c>
      <c r="P313" s="47" t="str">
        <f>IF(S312&gt;0.005,"February","")</f>
        <v/>
      </c>
      <c r="Q313" s="80">
        <f>IF(O313&lt;$S$7,"",IF(O313=$S$7,$Q$6*($S$6/12),S312*($S$6/12)))</f>
        <v>0</v>
      </c>
      <c r="R313" s="80">
        <f t="shared" ref="R313:R323" si="311">IF(O313&lt;$S$7,"",$Q$8-Q313)</f>
        <v>0</v>
      </c>
      <c r="S313" s="80">
        <f t="shared" ref="S313:S323" si="312">IF(O313&lt;$S$7,"",IF(O313=$S$7,$Q$6-R313,S312-R313))</f>
        <v>0</v>
      </c>
      <c r="T313" s="47"/>
      <c r="U313" s="84"/>
      <c r="V313" s="72">
        <v>242</v>
      </c>
      <c r="W313" s="47" t="e">
        <f>IF(Z312&gt;0.005,"February","")</f>
        <v>#NAME?</v>
      </c>
      <c r="X313" s="80" t="e">
        <f t="shared" ref="X313:X323" si="313">IF(V313&lt;$Z$7,"",($Z$6/12)*$X$6)</f>
        <v>#NAME?</v>
      </c>
      <c r="Y313" s="80"/>
      <c r="Z313" s="80" t="e">
        <f t="shared" ref="Z313:Z323" si="314">IF(V313&lt;$S$7,"",$X$6)</f>
        <v>#NAME?</v>
      </c>
      <c r="AA313" s="47"/>
      <c r="AB313" s="84"/>
      <c r="AC313" s="83"/>
      <c r="AD313" s="47" t="str">
        <f>IF(AG312&gt;0.005,"February","")</f>
        <v/>
      </c>
      <c r="AE313" s="80">
        <f t="shared" ref="AE313:AE323" si="315">IF(AG312&gt;0,ROUND(AG312*($AG$6/1200),2),0)</f>
        <v>0</v>
      </c>
      <c r="AF313" s="80">
        <f t="shared" ref="AF313:AF323" si="316">IF(AG312&lt;$AE$8,AG312,$AE$8-AE313)</f>
        <v>0</v>
      </c>
      <c r="AG313" s="80">
        <f t="shared" ref="AG313:AG323" si="317">IF(AG312-AF313&gt;0,AG312-AF313,0)</f>
        <v>0</v>
      </c>
      <c r="AH313" s="47"/>
    </row>
    <row r="314" spans="2:34" x14ac:dyDescent="0.25">
      <c r="B314" s="72">
        <v>243</v>
      </c>
      <c r="C314" s="47" t="str">
        <f>IF(F313&gt;0.005,"March","")</f>
        <v>March</v>
      </c>
      <c r="D314" s="80">
        <f t="shared" ref="D314:D322" si="318">IF(F313&gt;0,ROUND(F313*($F$6/12),2),0)</f>
        <v>8205.66</v>
      </c>
      <c r="E314" s="80">
        <f t="shared" si="306"/>
        <v>16437.456926226871</v>
      </c>
      <c r="F314" s="80">
        <f t="shared" si="307"/>
        <v>2385219.9438531012</v>
      </c>
      <c r="G314" s="47"/>
      <c r="I314" s="81">
        <f t="shared" si="308"/>
        <v>106.97395710066898</v>
      </c>
      <c r="J314" s="82">
        <f t="shared" si="309"/>
        <v>4.0999999999999999E-4</v>
      </c>
      <c r="K314" s="81"/>
      <c r="L314" s="81">
        <f t="shared" si="310"/>
        <v>3130945.0858732383</v>
      </c>
      <c r="M314" s="83">
        <f t="shared" si="305"/>
        <v>26814.194173864144</v>
      </c>
      <c r="N314" s="84"/>
      <c r="O314" s="72">
        <v>243</v>
      </c>
      <c r="P314" s="47" t="str">
        <f>IF(S313&gt;0.005,"March","")</f>
        <v/>
      </c>
      <c r="Q314" s="80">
        <f t="shared" ref="Q314:Q323" si="319">IF(O314&lt;$S$7,"",IF(O314=$S$7,$Q$6*($S$6/12),S313*($S$6/12)))</f>
        <v>0</v>
      </c>
      <c r="R314" s="80">
        <f t="shared" si="311"/>
        <v>0</v>
      </c>
      <c r="S314" s="80">
        <f t="shared" si="312"/>
        <v>0</v>
      </c>
      <c r="T314" s="47"/>
      <c r="U314" s="84"/>
      <c r="V314" s="72">
        <v>243</v>
      </c>
      <c r="W314" s="47" t="e">
        <f>IF(Z313&gt;0.005,"March","")</f>
        <v>#NAME?</v>
      </c>
      <c r="X314" s="80" t="e">
        <f t="shared" si="313"/>
        <v>#NAME?</v>
      </c>
      <c r="Y314" s="80"/>
      <c r="Z314" s="80" t="e">
        <f t="shared" si="314"/>
        <v>#NAME?</v>
      </c>
      <c r="AA314" s="47"/>
      <c r="AB314" s="84"/>
      <c r="AC314" s="83"/>
      <c r="AD314" s="47" t="str">
        <f>IF(AG313&gt;0.005,"March","")</f>
        <v/>
      </c>
      <c r="AE314" s="80">
        <f t="shared" si="315"/>
        <v>0</v>
      </c>
      <c r="AF314" s="80">
        <f t="shared" si="316"/>
        <v>0</v>
      </c>
      <c r="AG314" s="80">
        <f t="shared" si="317"/>
        <v>0</v>
      </c>
      <c r="AH314" s="47"/>
    </row>
    <row r="315" spans="2:34" x14ac:dyDescent="0.25">
      <c r="B315" s="72">
        <v>244</v>
      </c>
      <c r="C315" s="47" t="str">
        <f>IF(F314&gt;0.005,"April","")</f>
        <v>April</v>
      </c>
      <c r="D315" s="80">
        <f t="shared" si="318"/>
        <v>8149.5</v>
      </c>
      <c r="E315" s="80">
        <f t="shared" si="306"/>
        <v>16493.61692622687</v>
      </c>
      <c r="F315" s="80">
        <f t="shared" si="307"/>
        <v>2368726.3269268745</v>
      </c>
      <c r="G315" s="47"/>
      <c r="I315" s="81">
        <f t="shared" si="308"/>
        <v>106.97395710066898</v>
      </c>
      <c r="J315" s="82">
        <f t="shared" si="309"/>
        <v>4.0999999999999999E-4</v>
      </c>
      <c r="K315" s="81"/>
      <c r="L315" s="81">
        <f t="shared" si="310"/>
        <v>3130945.0858732383</v>
      </c>
      <c r="M315" s="83">
        <f t="shared" si="305"/>
        <v>27044.889313775722</v>
      </c>
      <c r="N315" s="84"/>
      <c r="O315" s="72">
        <v>244</v>
      </c>
      <c r="P315" s="47" t="str">
        <f>IF(S314&gt;0.005,"April","")</f>
        <v/>
      </c>
      <c r="Q315" s="80">
        <f t="shared" si="319"/>
        <v>0</v>
      </c>
      <c r="R315" s="80">
        <f t="shared" si="311"/>
        <v>0</v>
      </c>
      <c r="S315" s="80">
        <f t="shared" si="312"/>
        <v>0</v>
      </c>
      <c r="T315" s="47"/>
      <c r="U315" s="84"/>
      <c r="V315" s="72">
        <v>244</v>
      </c>
      <c r="W315" s="47" t="e">
        <f>IF(Z314&gt;0.005,"April","")</f>
        <v>#NAME?</v>
      </c>
      <c r="X315" s="80" t="e">
        <f t="shared" si="313"/>
        <v>#NAME?</v>
      </c>
      <c r="Y315" s="80"/>
      <c r="Z315" s="80" t="e">
        <f t="shared" si="314"/>
        <v>#NAME?</v>
      </c>
      <c r="AA315" s="47"/>
      <c r="AB315" s="84"/>
      <c r="AC315" s="83"/>
      <c r="AD315" s="47" t="str">
        <f>IF(AG314&gt;0.005,"April","")</f>
        <v/>
      </c>
      <c r="AE315" s="80">
        <f t="shared" si="315"/>
        <v>0</v>
      </c>
      <c r="AF315" s="80">
        <f t="shared" si="316"/>
        <v>0</v>
      </c>
      <c r="AG315" s="80">
        <f t="shared" si="317"/>
        <v>0</v>
      </c>
      <c r="AH315" s="47"/>
    </row>
    <row r="316" spans="2:34" x14ac:dyDescent="0.25">
      <c r="B316" s="72">
        <v>245</v>
      </c>
      <c r="C316" s="47" t="str">
        <f>IF(F315&gt;0.005,"May","")</f>
        <v>May</v>
      </c>
      <c r="D316" s="80">
        <f t="shared" si="318"/>
        <v>8093.15</v>
      </c>
      <c r="E316" s="80">
        <f t="shared" si="306"/>
        <v>16549.966926226873</v>
      </c>
      <c r="F316" s="80">
        <f t="shared" si="307"/>
        <v>2352176.3600006476</v>
      </c>
      <c r="G316" s="47"/>
      <c r="I316" s="81">
        <f t="shared" si="308"/>
        <v>106.97395710066898</v>
      </c>
      <c r="J316" s="82">
        <f t="shared" si="309"/>
        <v>4.0999999999999999E-4</v>
      </c>
      <c r="K316" s="81"/>
      <c r="L316" s="81">
        <f t="shared" si="310"/>
        <v>3130945.0858732383</v>
      </c>
      <c r="M316" s="83">
        <f t="shared" si="305"/>
        <v>27279.596548373993</v>
      </c>
      <c r="N316" s="84"/>
      <c r="O316" s="72">
        <v>245</v>
      </c>
      <c r="P316" s="47" t="str">
        <f>IF(S315&gt;0.005,"May","")</f>
        <v/>
      </c>
      <c r="Q316" s="80">
        <f t="shared" si="319"/>
        <v>0</v>
      </c>
      <c r="R316" s="80">
        <f t="shared" si="311"/>
        <v>0</v>
      </c>
      <c r="S316" s="80">
        <f t="shared" si="312"/>
        <v>0</v>
      </c>
      <c r="T316" s="47"/>
      <c r="U316" s="84"/>
      <c r="V316" s="72">
        <v>245</v>
      </c>
      <c r="W316" s="47" t="e">
        <f>IF(Z315&gt;0.005,"May","")</f>
        <v>#NAME?</v>
      </c>
      <c r="X316" s="80" t="e">
        <f t="shared" si="313"/>
        <v>#NAME?</v>
      </c>
      <c r="Y316" s="80"/>
      <c r="Z316" s="80" t="e">
        <f t="shared" si="314"/>
        <v>#NAME?</v>
      </c>
      <c r="AA316" s="47"/>
      <c r="AB316" s="84"/>
      <c r="AC316" s="83"/>
      <c r="AD316" s="47" t="str">
        <f>IF(AG315&gt;0.005,"May","")</f>
        <v/>
      </c>
      <c r="AE316" s="80">
        <f t="shared" si="315"/>
        <v>0</v>
      </c>
      <c r="AF316" s="80">
        <f t="shared" si="316"/>
        <v>0</v>
      </c>
      <c r="AG316" s="80">
        <f t="shared" si="317"/>
        <v>0</v>
      </c>
      <c r="AH316" s="47"/>
    </row>
    <row r="317" spans="2:34" x14ac:dyDescent="0.25">
      <c r="B317" s="72">
        <v>246</v>
      </c>
      <c r="C317" s="47" t="str">
        <f>IF(F316&gt;0.005,"June","")</f>
        <v>June</v>
      </c>
      <c r="D317" s="80">
        <f t="shared" si="318"/>
        <v>8036.6</v>
      </c>
      <c r="E317" s="80">
        <f t="shared" si="306"/>
        <v>16606.516926226868</v>
      </c>
      <c r="F317" s="80">
        <f t="shared" si="307"/>
        <v>2335569.8430744209</v>
      </c>
      <c r="G317" s="47"/>
      <c r="I317" s="81">
        <f t="shared" si="308"/>
        <v>106.97395710066898</v>
      </c>
      <c r="J317" s="82">
        <f t="shared" si="309"/>
        <v>4.0999999999999999E-4</v>
      </c>
      <c r="K317" s="81"/>
      <c r="L317" s="81">
        <f t="shared" si="310"/>
        <v>3130945.0858732383</v>
      </c>
      <c r="M317" s="83">
        <f t="shared" si="305"/>
        <v>27518.42145909807</v>
      </c>
      <c r="N317" s="84"/>
      <c r="O317" s="72">
        <v>246</v>
      </c>
      <c r="P317" s="47" t="str">
        <f>IF(S316&gt;0.005,"June","")</f>
        <v/>
      </c>
      <c r="Q317" s="80">
        <f t="shared" si="319"/>
        <v>0</v>
      </c>
      <c r="R317" s="80">
        <f t="shared" si="311"/>
        <v>0</v>
      </c>
      <c r="S317" s="80">
        <f t="shared" si="312"/>
        <v>0</v>
      </c>
      <c r="T317" s="47"/>
      <c r="U317" s="84"/>
      <c r="V317" s="72">
        <v>246</v>
      </c>
      <c r="W317" s="47" t="e">
        <f>IF(Z316&gt;0.005,"June","")</f>
        <v>#NAME?</v>
      </c>
      <c r="X317" s="80" t="e">
        <f t="shared" si="313"/>
        <v>#NAME?</v>
      </c>
      <c r="Y317" s="80"/>
      <c r="Z317" s="80" t="e">
        <f t="shared" si="314"/>
        <v>#NAME?</v>
      </c>
      <c r="AA317" s="47"/>
      <c r="AB317" s="84"/>
      <c r="AC317" s="83"/>
      <c r="AD317" s="47" t="str">
        <f>IF(AG316&gt;0.005,"June","")</f>
        <v/>
      </c>
      <c r="AE317" s="80">
        <f t="shared" si="315"/>
        <v>0</v>
      </c>
      <c r="AF317" s="80">
        <f t="shared" si="316"/>
        <v>0</v>
      </c>
      <c r="AG317" s="80">
        <f t="shared" si="317"/>
        <v>0</v>
      </c>
      <c r="AH317" s="47"/>
    </row>
    <row r="318" spans="2:34" x14ac:dyDescent="0.25">
      <c r="B318" s="72">
        <v>247</v>
      </c>
      <c r="C318" s="47" t="str">
        <f>IF(F317&gt;0.005,"July","")</f>
        <v>July</v>
      </c>
      <c r="D318" s="80">
        <f t="shared" si="318"/>
        <v>7979.86</v>
      </c>
      <c r="E318" s="80">
        <f t="shared" si="306"/>
        <v>16663.25692622687</v>
      </c>
      <c r="F318" s="80">
        <f t="shared" si="307"/>
        <v>2318906.586148194</v>
      </c>
      <c r="G318" s="47"/>
      <c r="I318" s="81">
        <f t="shared" si="308"/>
        <v>106.97395710066898</v>
      </c>
      <c r="J318" s="82">
        <f t="shared" si="309"/>
        <v>4.0999999999999999E-4</v>
      </c>
      <c r="K318" s="81"/>
      <c r="L318" s="81">
        <f t="shared" si="310"/>
        <v>3130945.0858732383</v>
      </c>
      <c r="M318" s="83">
        <f t="shared" si="305"/>
        <v>27761.47336478316</v>
      </c>
      <c r="N318" s="84"/>
      <c r="O318" s="72">
        <v>247</v>
      </c>
      <c r="P318" s="47" t="str">
        <f>IF(S317&gt;0.005,"July","")</f>
        <v/>
      </c>
      <c r="Q318" s="80">
        <f t="shared" si="319"/>
        <v>0</v>
      </c>
      <c r="R318" s="80">
        <f t="shared" si="311"/>
        <v>0</v>
      </c>
      <c r="S318" s="80">
        <f t="shared" si="312"/>
        <v>0</v>
      </c>
      <c r="T318" s="47"/>
      <c r="U318" s="84"/>
      <c r="V318" s="72">
        <v>247</v>
      </c>
      <c r="W318" s="47" t="e">
        <f>IF(Z317&gt;0.005,"July","")</f>
        <v>#NAME?</v>
      </c>
      <c r="X318" s="80" t="e">
        <f t="shared" si="313"/>
        <v>#NAME?</v>
      </c>
      <c r="Y318" s="80"/>
      <c r="Z318" s="80" t="e">
        <f t="shared" si="314"/>
        <v>#NAME?</v>
      </c>
      <c r="AA318" s="47"/>
      <c r="AB318" s="84"/>
      <c r="AC318" s="83"/>
      <c r="AD318" s="47" t="str">
        <f>IF(AG317&gt;0.005,"July","")</f>
        <v/>
      </c>
      <c r="AE318" s="80">
        <f t="shared" si="315"/>
        <v>0</v>
      </c>
      <c r="AF318" s="80">
        <f t="shared" si="316"/>
        <v>0</v>
      </c>
      <c r="AG318" s="80">
        <f t="shared" si="317"/>
        <v>0</v>
      </c>
      <c r="AH318" s="47"/>
    </row>
    <row r="319" spans="2:34" x14ac:dyDescent="0.25">
      <c r="B319" s="72">
        <v>248</v>
      </c>
      <c r="C319" s="47" t="str">
        <f>IF(F318&gt;0.005,"August","")</f>
        <v>August</v>
      </c>
      <c r="D319" s="80">
        <f t="shared" si="318"/>
        <v>7922.93</v>
      </c>
      <c r="E319" s="80">
        <f t="shared" si="306"/>
        <v>16720.18692622687</v>
      </c>
      <c r="F319" s="80">
        <f t="shared" si="307"/>
        <v>2302186.399221967</v>
      </c>
      <c r="G319" s="47"/>
      <c r="I319" s="81">
        <f t="shared" si="308"/>
        <v>106.97395710066898</v>
      </c>
      <c r="J319" s="82">
        <f t="shared" si="309"/>
        <v>4.0999999999999999E-4</v>
      </c>
      <c r="K319" s="81"/>
      <c r="L319" s="81">
        <f t="shared" si="310"/>
        <v>3130945.0858732383</v>
      </c>
      <c r="M319" s="83">
        <f t="shared" si="305"/>
        <v>28008.865488508571</v>
      </c>
      <c r="N319" s="84"/>
      <c r="O319" s="72">
        <v>248</v>
      </c>
      <c r="P319" s="47" t="str">
        <f>IF(S318&gt;0.005,"August","")</f>
        <v/>
      </c>
      <c r="Q319" s="80">
        <f t="shared" si="319"/>
        <v>0</v>
      </c>
      <c r="R319" s="80">
        <f t="shared" si="311"/>
        <v>0</v>
      </c>
      <c r="S319" s="80">
        <f t="shared" si="312"/>
        <v>0</v>
      </c>
      <c r="T319" s="47"/>
      <c r="U319" s="84"/>
      <c r="V319" s="72">
        <v>248</v>
      </c>
      <c r="W319" s="47" t="e">
        <f>IF(Z318&gt;0.005,"August","")</f>
        <v>#NAME?</v>
      </c>
      <c r="X319" s="80" t="e">
        <f t="shared" si="313"/>
        <v>#NAME?</v>
      </c>
      <c r="Y319" s="80"/>
      <c r="Z319" s="80" t="e">
        <f t="shared" si="314"/>
        <v>#NAME?</v>
      </c>
      <c r="AA319" s="47"/>
      <c r="AB319" s="84"/>
      <c r="AC319" s="83"/>
      <c r="AD319" s="47" t="str">
        <f>IF(AG318&gt;0.005,"August","")</f>
        <v/>
      </c>
      <c r="AE319" s="80">
        <f t="shared" si="315"/>
        <v>0</v>
      </c>
      <c r="AF319" s="80">
        <f t="shared" si="316"/>
        <v>0</v>
      </c>
      <c r="AG319" s="80">
        <f t="shared" si="317"/>
        <v>0</v>
      </c>
      <c r="AH319" s="47"/>
    </row>
    <row r="320" spans="2:34" x14ac:dyDescent="0.25">
      <c r="B320" s="72">
        <v>249</v>
      </c>
      <c r="C320" s="47" t="str">
        <f>IF(F319&gt;0.005,"September","")</f>
        <v>September</v>
      </c>
      <c r="D320" s="80">
        <f t="shared" si="318"/>
        <v>7865.8</v>
      </c>
      <c r="E320" s="80">
        <f t="shared" si="306"/>
        <v>16777.316926226871</v>
      </c>
      <c r="F320" s="80">
        <f t="shared" si="307"/>
        <v>2285409.08229574</v>
      </c>
      <c r="G320" s="47"/>
      <c r="I320" s="81">
        <f t="shared" si="308"/>
        <v>106.97395710066898</v>
      </c>
      <c r="J320" s="82">
        <f t="shared" si="309"/>
        <v>4.0999999999999999E-4</v>
      </c>
      <c r="K320" s="81"/>
      <c r="L320" s="81">
        <f t="shared" si="310"/>
        <v>3130945.0858732383</v>
      </c>
      <c r="M320" s="83">
        <f t="shared" si="305"/>
        <v>28260.715133464586</v>
      </c>
      <c r="N320" s="84"/>
      <c r="O320" s="72">
        <v>249</v>
      </c>
      <c r="P320" s="47" t="str">
        <f>IF(S319&gt;0.005,"September","")</f>
        <v/>
      </c>
      <c r="Q320" s="80">
        <f t="shared" si="319"/>
        <v>0</v>
      </c>
      <c r="R320" s="80">
        <f t="shared" si="311"/>
        <v>0</v>
      </c>
      <c r="S320" s="80">
        <f t="shared" si="312"/>
        <v>0</v>
      </c>
      <c r="T320" s="47"/>
      <c r="U320" s="84"/>
      <c r="V320" s="72">
        <v>249</v>
      </c>
      <c r="W320" s="47" t="e">
        <f>IF(Z319&gt;0.005,"September","")</f>
        <v>#NAME?</v>
      </c>
      <c r="X320" s="80" t="e">
        <f t="shared" si="313"/>
        <v>#NAME?</v>
      </c>
      <c r="Y320" s="80"/>
      <c r="Z320" s="80" t="e">
        <f t="shared" si="314"/>
        <v>#NAME?</v>
      </c>
      <c r="AA320" s="47"/>
      <c r="AB320" s="84"/>
      <c r="AC320" s="83"/>
      <c r="AD320" s="47" t="str">
        <f>IF(AG319&gt;0.005,"September","")</f>
        <v/>
      </c>
      <c r="AE320" s="80">
        <f t="shared" si="315"/>
        <v>0</v>
      </c>
      <c r="AF320" s="80">
        <f t="shared" si="316"/>
        <v>0</v>
      </c>
      <c r="AG320" s="80">
        <f t="shared" si="317"/>
        <v>0</v>
      </c>
      <c r="AH320" s="47"/>
    </row>
    <row r="321" spans="2:34" x14ac:dyDescent="0.25">
      <c r="B321" s="72">
        <v>250</v>
      </c>
      <c r="C321" s="47" t="str">
        <f>IF(F320&gt;0.005,"October","")</f>
        <v>October</v>
      </c>
      <c r="D321" s="80">
        <f t="shared" si="318"/>
        <v>7808.48</v>
      </c>
      <c r="E321" s="80">
        <f t="shared" si="306"/>
        <v>16834.636926226871</v>
      </c>
      <c r="F321" s="80">
        <f t="shared" si="307"/>
        <v>2268574.4453695132</v>
      </c>
      <c r="G321" s="47"/>
      <c r="I321" s="81">
        <f t="shared" si="308"/>
        <v>106.97395710066898</v>
      </c>
      <c r="J321" s="82">
        <f t="shared" si="309"/>
        <v>4.0999999999999999E-4</v>
      </c>
      <c r="K321" s="81"/>
      <c r="L321" s="81">
        <f t="shared" si="310"/>
        <v>3130945.0858732383</v>
      </c>
      <c r="M321" s="83">
        <f t="shared" si="305"/>
        <v>28517.143868412033</v>
      </c>
      <c r="N321" s="84"/>
      <c r="O321" s="72">
        <v>250</v>
      </c>
      <c r="P321" s="47" t="str">
        <f>IF(S320&gt;0.005,"October","")</f>
        <v/>
      </c>
      <c r="Q321" s="80">
        <f t="shared" si="319"/>
        <v>0</v>
      </c>
      <c r="R321" s="80">
        <f t="shared" si="311"/>
        <v>0</v>
      </c>
      <c r="S321" s="80">
        <f t="shared" si="312"/>
        <v>0</v>
      </c>
      <c r="T321" s="47"/>
      <c r="U321" s="84"/>
      <c r="V321" s="72">
        <v>250</v>
      </c>
      <c r="W321" s="47" t="e">
        <f>IF(Z320&gt;0.005,"October","")</f>
        <v>#NAME?</v>
      </c>
      <c r="X321" s="80" t="e">
        <f t="shared" si="313"/>
        <v>#NAME?</v>
      </c>
      <c r="Y321" s="80"/>
      <c r="Z321" s="80" t="e">
        <f t="shared" si="314"/>
        <v>#NAME?</v>
      </c>
      <c r="AA321" s="47"/>
      <c r="AB321" s="84"/>
      <c r="AC321" s="83"/>
      <c r="AD321" s="47" t="str">
        <f>IF(AG320&gt;0.005,"October","")</f>
        <v/>
      </c>
      <c r="AE321" s="80">
        <f t="shared" si="315"/>
        <v>0</v>
      </c>
      <c r="AF321" s="80">
        <f t="shared" si="316"/>
        <v>0</v>
      </c>
      <c r="AG321" s="80">
        <f t="shared" si="317"/>
        <v>0</v>
      </c>
      <c r="AH321" s="47"/>
    </row>
    <row r="322" spans="2:34" x14ac:dyDescent="0.25">
      <c r="B322" s="72">
        <v>251</v>
      </c>
      <c r="C322" s="47" t="str">
        <f>IF(F321&gt;0.005,"November","")</f>
        <v>November</v>
      </c>
      <c r="D322" s="80">
        <f t="shared" si="318"/>
        <v>7750.96</v>
      </c>
      <c r="E322" s="80">
        <f t="shared" si="306"/>
        <v>16892.156926226871</v>
      </c>
      <c r="F322" s="80">
        <f t="shared" si="307"/>
        <v>2251682.2884432864</v>
      </c>
      <c r="G322" s="47"/>
      <c r="I322" s="81">
        <f t="shared" si="308"/>
        <v>106.97395710066898</v>
      </c>
      <c r="J322" s="82">
        <f t="shared" si="309"/>
        <v>4.0999999999999999E-4</v>
      </c>
      <c r="K322" s="81"/>
      <c r="L322" s="81">
        <f t="shared" si="310"/>
        <v>3130945.0858732383</v>
      </c>
      <c r="M322" s="83">
        <f t="shared" si="305"/>
        <v>28778.277723350686</v>
      </c>
      <c r="N322" s="84"/>
      <c r="O322" s="72">
        <v>251</v>
      </c>
      <c r="P322" s="47" t="str">
        <f>IF(S321&gt;0.005,"November","")</f>
        <v/>
      </c>
      <c r="Q322" s="80">
        <f t="shared" si="319"/>
        <v>0</v>
      </c>
      <c r="R322" s="80">
        <f t="shared" si="311"/>
        <v>0</v>
      </c>
      <c r="S322" s="80">
        <f t="shared" si="312"/>
        <v>0</v>
      </c>
      <c r="T322" s="47"/>
      <c r="U322" s="84"/>
      <c r="V322" s="72">
        <v>251</v>
      </c>
      <c r="W322" s="47" t="e">
        <f>IF(Z321&gt;0.005,"November","")</f>
        <v>#NAME?</v>
      </c>
      <c r="X322" s="80" t="e">
        <f t="shared" si="313"/>
        <v>#NAME?</v>
      </c>
      <c r="Y322" s="80"/>
      <c r="Z322" s="80" t="e">
        <f t="shared" si="314"/>
        <v>#NAME?</v>
      </c>
      <c r="AA322" s="47"/>
      <c r="AB322" s="84"/>
      <c r="AC322" s="83"/>
      <c r="AD322" s="47" t="str">
        <f>IF(AG321&gt;0.005,"November","")</f>
        <v/>
      </c>
      <c r="AE322" s="80">
        <f t="shared" si="315"/>
        <v>0</v>
      </c>
      <c r="AF322" s="80">
        <f t="shared" si="316"/>
        <v>0</v>
      </c>
      <c r="AG322" s="80">
        <f t="shared" si="317"/>
        <v>0</v>
      </c>
      <c r="AH322" s="47"/>
    </row>
    <row r="323" spans="2:34" x14ac:dyDescent="0.25">
      <c r="B323" s="72">
        <v>252</v>
      </c>
      <c r="C323" s="47" t="str">
        <f>IF(F322&gt;0.005,"December","")</f>
        <v>December</v>
      </c>
      <c r="D323" s="80">
        <f>IF(F322&gt;0,ROUND(F322*($F$6/12),2),0)</f>
        <v>7693.25</v>
      </c>
      <c r="E323" s="80">
        <f t="shared" si="306"/>
        <v>16949.86692622687</v>
      </c>
      <c r="F323" s="80">
        <f t="shared" si="307"/>
        <v>2234732.4215170597</v>
      </c>
      <c r="G323" s="47"/>
      <c r="I323" s="81">
        <f t="shared" si="308"/>
        <v>106.97395710066898</v>
      </c>
      <c r="J323" s="82">
        <f t="shared" si="309"/>
        <v>4.0999999999999999E-4</v>
      </c>
      <c r="K323" s="81"/>
      <c r="L323" s="81">
        <f t="shared" si="310"/>
        <v>3130945.0858732383</v>
      </c>
      <c r="M323" s="83">
        <f t="shared" si="305"/>
        <v>29044.247396058068</v>
      </c>
      <c r="N323" s="84"/>
      <c r="O323" s="72">
        <v>252</v>
      </c>
      <c r="P323" s="47" t="str">
        <f>IF(S322&gt;0.005,"December","")</f>
        <v/>
      </c>
      <c r="Q323" s="80">
        <f t="shared" si="319"/>
        <v>0</v>
      </c>
      <c r="R323" s="80">
        <f t="shared" si="311"/>
        <v>0</v>
      </c>
      <c r="S323" s="80">
        <f t="shared" si="312"/>
        <v>0</v>
      </c>
      <c r="T323" s="47"/>
      <c r="U323" s="84"/>
      <c r="V323" s="72">
        <v>252</v>
      </c>
      <c r="W323" s="47" t="e">
        <f>IF(Z322&gt;0.005,"December","")</f>
        <v>#NAME?</v>
      </c>
      <c r="X323" s="80" t="e">
        <f t="shared" si="313"/>
        <v>#NAME?</v>
      </c>
      <c r="Y323" s="80"/>
      <c r="Z323" s="80" t="e">
        <f t="shared" si="314"/>
        <v>#NAME?</v>
      </c>
      <c r="AA323" s="47"/>
      <c r="AB323" s="84"/>
      <c r="AC323" s="83"/>
      <c r="AD323" s="47" t="str">
        <f>IF(AG322&gt;0.005,"December","")</f>
        <v/>
      </c>
      <c r="AE323" s="80">
        <f t="shared" si="315"/>
        <v>0</v>
      </c>
      <c r="AF323" s="80">
        <f t="shared" si="316"/>
        <v>0</v>
      </c>
      <c r="AG323" s="80">
        <f t="shared" si="317"/>
        <v>0</v>
      </c>
      <c r="AH323" s="47"/>
    </row>
    <row r="324" spans="2:34" x14ac:dyDescent="0.25">
      <c r="B324" s="46"/>
      <c r="C324" s="85" t="str">
        <f>"Total "&amp;YEAR($C$9)+20</f>
        <v>Total 2039</v>
      </c>
      <c r="D324" s="86">
        <f>SUM(D312:D323)</f>
        <v>96085.23</v>
      </c>
      <c r="E324" s="86">
        <f>SUM(E312:E323)</f>
        <v>199632.17311472242</v>
      </c>
      <c r="F324" s="87"/>
      <c r="G324" s="47"/>
      <c r="I324" s="86">
        <f>SUM(I312:I323)</f>
        <v>1283.6874852080275</v>
      </c>
      <c r="J324" s="46"/>
      <c r="K324" s="86">
        <f>SUM(K312:K323)</f>
        <v>0</v>
      </c>
      <c r="L324" s="46"/>
      <c r="M324" s="46"/>
      <c r="O324" s="46"/>
      <c r="P324" s="85" t="str">
        <f>"Total "&amp;YEAR($C$9)+20</f>
        <v>Total 2039</v>
      </c>
      <c r="Q324" s="86">
        <f>SUM(Q312:Q323)</f>
        <v>0</v>
      </c>
      <c r="R324" s="86">
        <f>SUM(R312:R323)</f>
        <v>0</v>
      </c>
      <c r="S324" s="87"/>
      <c r="T324" s="47"/>
      <c r="V324" s="46"/>
      <c r="W324" s="85" t="str">
        <f>"Total "&amp;YEAR($C$9)+20</f>
        <v>Total 2039</v>
      </c>
      <c r="X324" s="86" t="e">
        <f>SUM(X312:X323)</f>
        <v>#NAME?</v>
      </c>
      <c r="Y324" s="86">
        <f>SUM(Y312:Y323)</f>
        <v>0</v>
      </c>
      <c r="Z324" s="87"/>
      <c r="AA324" s="47"/>
      <c r="AC324" s="46"/>
      <c r="AD324" s="85" t="str">
        <f>"Total "&amp;YEAR($C$9)+20</f>
        <v>Total 2039</v>
      </c>
      <c r="AE324" s="86">
        <f>SUM(AE312:AE323)</f>
        <v>0</v>
      </c>
      <c r="AF324" s="86">
        <f>SUM(AF312:AF323)</f>
        <v>0</v>
      </c>
      <c r="AG324" s="87"/>
      <c r="AH324" s="47"/>
    </row>
    <row r="325" spans="2:34" x14ac:dyDescent="0.25">
      <c r="B325" s="46"/>
      <c r="C325" s="47"/>
      <c r="D325" s="80"/>
      <c r="E325" s="80"/>
      <c r="F325" s="80"/>
      <c r="G325" s="47"/>
      <c r="I325" s="46"/>
      <c r="J325" s="46"/>
      <c r="K325" s="46"/>
      <c r="L325" s="46"/>
      <c r="M325" s="46"/>
      <c r="O325" s="46"/>
      <c r="P325" s="47"/>
      <c r="Q325" s="80"/>
      <c r="R325" s="80"/>
      <c r="S325" s="80"/>
      <c r="T325" s="47"/>
      <c r="V325" s="46"/>
      <c r="W325" s="47"/>
      <c r="X325" s="80"/>
      <c r="Y325" s="80"/>
      <c r="Z325" s="80"/>
      <c r="AA325" s="47"/>
      <c r="AC325" s="46"/>
      <c r="AD325" s="47"/>
      <c r="AE325" s="80"/>
      <c r="AF325" s="80"/>
      <c r="AG325" s="80"/>
      <c r="AH325" s="47"/>
    </row>
    <row r="326" spans="2:34" x14ac:dyDescent="0.25">
      <c r="B326" s="46"/>
      <c r="C326" s="47"/>
      <c r="D326" s="75" t="s">
        <v>62</v>
      </c>
      <c r="E326" s="75" t="s">
        <v>63</v>
      </c>
      <c r="F326" s="75" t="s">
        <v>64</v>
      </c>
      <c r="G326" s="47"/>
      <c r="I326" s="46"/>
      <c r="J326" s="46"/>
      <c r="K326" s="46"/>
      <c r="L326" s="46"/>
      <c r="M326" s="46"/>
      <c r="O326" s="46"/>
      <c r="P326" s="47"/>
      <c r="Q326" s="75" t="s">
        <v>62</v>
      </c>
      <c r="R326" s="75" t="s">
        <v>63</v>
      </c>
      <c r="S326" s="75" t="s">
        <v>64</v>
      </c>
      <c r="T326" s="47"/>
      <c r="V326" s="46"/>
      <c r="W326" s="47"/>
      <c r="X326" s="75" t="s">
        <v>62</v>
      </c>
      <c r="Y326" s="75" t="s">
        <v>63</v>
      </c>
      <c r="Z326" s="75" t="s">
        <v>64</v>
      </c>
      <c r="AA326" s="47"/>
      <c r="AC326" s="46"/>
      <c r="AD326" s="47"/>
      <c r="AE326" s="75" t="s">
        <v>62</v>
      </c>
      <c r="AF326" s="75" t="s">
        <v>63</v>
      </c>
      <c r="AG326" s="75" t="s">
        <v>64</v>
      </c>
      <c r="AH326" s="47"/>
    </row>
    <row r="327" spans="2:34" x14ac:dyDescent="0.25">
      <c r="B327" s="72">
        <v>253</v>
      </c>
      <c r="C327" s="47" t="str">
        <f>IF(F323&gt;0.005,"January","")</f>
        <v>January</v>
      </c>
      <c r="D327" s="80">
        <f>IF(F323&gt;0,ROUND(F323*($F$6/12),2),0)</f>
        <v>7635.34</v>
      </c>
      <c r="E327" s="80">
        <f>IF(F323&lt;$D$8,F323,$D$8-D327)</f>
        <v>17007.77692622687</v>
      </c>
      <c r="F327" s="80">
        <f>IF(F323-E327&gt;0,F323-E327,0)</f>
        <v>2217724.6445908328</v>
      </c>
      <c r="G327" s="47"/>
      <c r="I327" s="81">
        <f>L323*J327/12</f>
        <v>106.97395710066898</v>
      </c>
      <c r="J327" s="82">
        <f>$F$6/100</f>
        <v>4.0999999999999999E-4</v>
      </c>
      <c r="K327" s="81"/>
      <c r="L327" s="81">
        <f>MAX(L323+L323*($F$6/100)/12-I327-K327,0)</f>
        <v>3130945.0858732383</v>
      </c>
      <c r="M327" s="83">
        <f t="shared" ref="M327:M338" si="320">-PMT(($F$6/100)/12,$D$7-B327,L327,0,0)</f>
        <v>29315.188470209941</v>
      </c>
      <c r="N327" s="84"/>
      <c r="O327" s="72">
        <v>253</v>
      </c>
      <c r="P327" s="47" t="str">
        <f>IF(S323&gt;0.005,"January","")</f>
        <v/>
      </c>
      <c r="Q327" s="80">
        <f>IF(O327&lt;$S$7,"",IF(O327=$S$7,$Q$6*($S$6/12),S323*($S$6/12)))</f>
        <v>0</v>
      </c>
      <c r="R327" s="80">
        <f>IF(O327&lt;$S$7,"",$Q$8-Q327)</f>
        <v>0</v>
      </c>
      <c r="S327" s="80">
        <f>IF(O327&lt;$S$7,"",IF(O327=$S$7,$Q$6-R327,S323-R327))</f>
        <v>0</v>
      </c>
      <c r="T327" s="47"/>
      <c r="U327" s="84"/>
      <c r="V327" s="72">
        <v>253</v>
      </c>
      <c r="W327" s="47" t="e">
        <f>IF(Z323&gt;0.005,"January","")</f>
        <v>#NAME?</v>
      </c>
      <c r="X327" s="80" t="e">
        <f>IF(V327&lt;$Z$7,"",($Z$6/12)*$X$6)</f>
        <v>#NAME?</v>
      </c>
      <c r="Y327" s="80"/>
      <c r="Z327" s="80" t="e">
        <f>IF(V327&lt;$S$7,"",$X$6)</f>
        <v>#NAME?</v>
      </c>
      <c r="AA327" s="47"/>
      <c r="AB327" s="84"/>
      <c r="AC327" s="83"/>
      <c r="AD327" s="47" t="str">
        <f>IF(AG323&gt;0.005,"January","")</f>
        <v/>
      </c>
      <c r="AE327" s="80">
        <f>IF(AG323&gt;0,ROUND(AG323*($AG$6/1200),2),0)</f>
        <v>0</v>
      </c>
      <c r="AF327" s="80">
        <f>IF(AG323&lt;$AE$8,AG323,$AE$8-AE327)</f>
        <v>0</v>
      </c>
      <c r="AG327" s="80">
        <f>IF(AG323-AF327&gt;0,AG323-AF327,0)</f>
        <v>0</v>
      </c>
      <c r="AH327" s="47"/>
    </row>
    <row r="328" spans="2:34" x14ac:dyDescent="0.25">
      <c r="B328" s="72">
        <v>254</v>
      </c>
      <c r="C328" s="47" t="str">
        <f>IF(F327&gt;0.005,"February","")</f>
        <v>February</v>
      </c>
      <c r="D328" s="80">
        <f>IF(F327&gt;0,ROUND(F327*($F$6/12),2),0)</f>
        <v>7577.23</v>
      </c>
      <c r="E328" s="80">
        <f t="shared" ref="E328:E338" si="321">IF(F327&lt;$D$8,F327,$D$8-D328)</f>
        <v>17065.886926226871</v>
      </c>
      <c r="F328" s="80">
        <f t="shared" ref="F328:F338" si="322">IF(F327-E328&gt;0,F327-E328,0)</f>
        <v>2200658.757664606</v>
      </c>
      <c r="G328" s="47"/>
      <c r="I328" s="81">
        <f t="shared" ref="I328:I338" si="323">L327*J328/12</f>
        <v>106.97395710066898</v>
      </c>
      <c r="J328" s="82">
        <f t="shared" ref="J328:J338" si="324">$F$6/100</f>
        <v>4.0999999999999999E-4</v>
      </c>
      <c r="K328" s="81"/>
      <c r="L328" s="81">
        <f t="shared" ref="L328:L338" si="325">MAX(L327+L327*($F$6/100)/12-I328-K328,0)</f>
        <v>3130945.0858732383</v>
      </c>
      <c r="M328" s="83">
        <f t="shared" si="320"/>
        <v>29591.241645847193</v>
      </c>
      <c r="N328" s="84"/>
      <c r="O328" s="72">
        <v>254</v>
      </c>
      <c r="P328" s="47" t="str">
        <f>IF(S327&gt;0.005,"February","")</f>
        <v/>
      </c>
      <c r="Q328" s="80">
        <f>IF(O328&lt;$S$7,"",IF(O328=$S$7,$Q$6*($S$6/12),S327*($S$6/12)))</f>
        <v>0</v>
      </c>
      <c r="R328" s="80">
        <f t="shared" ref="R328:R338" si="326">IF(O328&lt;$S$7,"",$Q$8-Q328)</f>
        <v>0</v>
      </c>
      <c r="S328" s="80">
        <f t="shared" ref="S328:S338" si="327">IF(O328&lt;$S$7,"",IF(O328=$S$7,$Q$6-R328,S327-R328))</f>
        <v>0</v>
      </c>
      <c r="T328" s="47"/>
      <c r="U328" s="84"/>
      <c r="V328" s="72">
        <v>254</v>
      </c>
      <c r="W328" s="47" t="e">
        <f>IF(Z327&gt;0.005,"February","")</f>
        <v>#NAME?</v>
      </c>
      <c r="X328" s="80" t="e">
        <f t="shared" ref="X328:X338" si="328">IF(V328&lt;$Z$7,"",($Z$6/12)*$X$6)</f>
        <v>#NAME?</v>
      </c>
      <c r="Y328" s="80"/>
      <c r="Z328" s="80" t="e">
        <f t="shared" ref="Z328:Z338" si="329">IF(V328&lt;$S$7,"",$X$6)</f>
        <v>#NAME?</v>
      </c>
      <c r="AA328" s="47"/>
      <c r="AB328" s="84"/>
      <c r="AC328" s="83"/>
      <c r="AD328" s="47" t="str">
        <f>IF(AG327&gt;0.005,"February","")</f>
        <v/>
      </c>
      <c r="AE328" s="80">
        <f t="shared" ref="AE328:AE338" si="330">IF(AG327&gt;0,ROUND(AG327*($AG$6/1200),2),0)</f>
        <v>0</v>
      </c>
      <c r="AF328" s="80">
        <f t="shared" ref="AF328:AF338" si="331">IF(AG327&lt;$AE$8,AG327,$AE$8-AE328)</f>
        <v>0</v>
      </c>
      <c r="AG328" s="80">
        <f t="shared" ref="AG328:AG338" si="332">IF(AG327-AF328&gt;0,AG327-AF328,0)</f>
        <v>0</v>
      </c>
      <c r="AH328" s="47"/>
    </row>
    <row r="329" spans="2:34" x14ac:dyDescent="0.25">
      <c r="B329" s="72">
        <v>255</v>
      </c>
      <c r="C329" s="47" t="str">
        <f>IF(F328&gt;0.005,"March","")</f>
        <v>March</v>
      </c>
      <c r="D329" s="80">
        <f t="shared" ref="D329:D337" si="333">IF(F328&gt;0,ROUND(F328*($F$6/12),2),0)</f>
        <v>7518.92</v>
      </c>
      <c r="E329" s="80">
        <f t="shared" si="321"/>
        <v>17124.196926226869</v>
      </c>
      <c r="F329" s="80">
        <f t="shared" si="322"/>
        <v>2183534.5607383791</v>
      </c>
      <c r="G329" s="47"/>
      <c r="I329" s="81">
        <f t="shared" si="323"/>
        <v>106.97395710066898</v>
      </c>
      <c r="J329" s="82">
        <f t="shared" si="324"/>
        <v>4.0999999999999999E-4</v>
      </c>
      <c r="K329" s="81"/>
      <c r="L329" s="81">
        <f t="shared" si="325"/>
        <v>3130945.0858732383</v>
      </c>
      <c r="M329" s="83">
        <f t="shared" si="320"/>
        <v>29872.552983012265</v>
      </c>
      <c r="N329" s="84"/>
      <c r="O329" s="72">
        <v>255</v>
      </c>
      <c r="P329" s="47" t="str">
        <f>IF(S328&gt;0.005,"March","")</f>
        <v/>
      </c>
      <c r="Q329" s="80">
        <f t="shared" ref="Q329:Q338" si="334">IF(O329&lt;$S$7,"",IF(O329=$S$7,$Q$6*($S$6/12),S328*($S$6/12)))</f>
        <v>0</v>
      </c>
      <c r="R329" s="80">
        <f t="shared" si="326"/>
        <v>0</v>
      </c>
      <c r="S329" s="80">
        <f t="shared" si="327"/>
        <v>0</v>
      </c>
      <c r="T329" s="47"/>
      <c r="U329" s="84"/>
      <c r="V329" s="72">
        <v>255</v>
      </c>
      <c r="W329" s="47" t="e">
        <f>IF(Z328&gt;0.005,"March","")</f>
        <v>#NAME?</v>
      </c>
      <c r="X329" s="80" t="e">
        <f t="shared" si="328"/>
        <v>#NAME?</v>
      </c>
      <c r="Y329" s="80"/>
      <c r="Z329" s="80" t="e">
        <f t="shared" si="329"/>
        <v>#NAME?</v>
      </c>
      <c r="AA329" s="47"/>
      <c r="AB329" s="84"/>
      <c r="AC329" s="83"/>
      <c r="AD329" s="47" t="str">
        <f>IF(AG328&gt;0.005,"March","")</f>
        <v/>
      </c>
      <c r="AE329" s="80">
        <f t="shared" si="330"/>
        <v>0</v>
      </c>
      <c r="AF329" s="80">
        <f t="shared" si="331"/>
        <v>0</v>
      </c>
      <c r="AG329" s="80">
        <f t="shared" si="332"/>
        <v>0</v>
      </c>
      <c r="AH329" s="47"/>
    </row>
    <row r="330" spans="2:34" x14ac:dyDescent="0.25">
      <c r="B330" s="72">
        <v>256</v>
      </c>
      <c r="C330" s="47" t="str">
        <f>IF(F329&gt;0.005,"April","")</f>
        <v>April</v>
      </c>
      <c r="D330" s="80">
        <f t="shared" si="333"/>
        <v>7460.41</v>
      </c>
      <c r="E330" s="80">
        <f t="shared" si="321"/>
        <v>17182.706926226871</v>
      </c>
      <c r="F330" s="80">
        <f t="shared" si="322"/>
        <v>2166351.8538121521</v>
      </c>
      <c r="G330" s="47"/>
      <c r="I330" s="81">
        <f t="shared" si="323"/>
        <v>106.97395710066898</v>
      </c>
      <c r="J330" s="82">
        <f t="shared" si="324"/>
        <v>4.0999999999999999E-4</v>
      </c>
      <c r="K330" s="81"/>
      <c r="L330" s="81">
        <f t="shared" si="325"/>
        <v>3130945.0858732383</v>
      </c>
      <c r="M330" s="83">
        <f t="shared" si="320"/>
        <v>30159.274159441524</v>
      </c>
      <c r="N330" s="84"/>
      <c r="O330" s="72">
        <v>256</v>
      </c>
      <c r="P330" s="47" t="str">
        <f>IF(S329&gt;0.005,"April","")</f>
        <v/>
      </c>
      <c r="Q330" s="80">
        <f t="shared" si="334"/>
        <v>0</v>
      </c>
      <c r="R330" s="80">
        <f t="shared" si="326"/>
        <v>0</v>
      </c>
      <c r="S330" s="80">
        <f t="shared" si="327"/>
        <v>0</v>
      </c>
      <c r="T330" s="47"/>
      <c r="U330" s="84"/>
      <c r="V330" s="72">
        <v>256</v>
      </c>
      <c r="W330" s="47" t="e">
        <f>IF(Z329&gt;0.005,"April","")</f>
        <v>#NAME?</v>
      </c>
      <c r="X330" s="80" t="e">
        <f t="shared" si="328"/>
        <v>#NAME?</v>
      </c>
      <c r="Y330" s="80"/>
      <c r="Z330" s="80" t="e">
        <f t="shared" si="329"/>
        <v>#NAME?</v>
      </c>
      <c r="AA330" s="47"/>
      <c r="AB330" s="84"/>
      <c r="AC330" s="83"/>
      <c r="AD330" s="47" t="str">
        <f>IF(AG329&gt;0.005,"April","")</f>
        <v/>
      </c>
      <c r="AE330" s="80">
        <f t="shared" si="330"/>
        <v>0</v>
      </c>
      <c r="AF330" s="80">
        <f t="shared" si="331"/>
        <v>0</v>
      </c>
      <c r="AG330" s="80">
        <f t="shared" si="332"/>
        <v>0</v>
      </c>
      <c r="AH330" s="47"/>
    </row>
    <row r="331" spans="2:34" x14ac:dyDescent="0.25">
      <c r="B331" s="72">
        <v>257</v>
      </c>
      <c r="C331" s="47" t="str">
        <f>IF(F330&gt;0.005,"May","")</f>
        <v>May</v>
      </c>
      <c r="D331" s="80">
        <f t="shared" si="333"/>
        <v>7401.7</v>
      </c>
      <c r="E331" s="80">
        <f t="shared" si="321"/>
        <v>17241.41692622687</v>
      </c>
      <c r="F331" s="80">
        <f t="shared" si="322"/>
        <v>2149110.436885925</v>
      </c>
      <c r="G331" s="47"/>
      <c r="I331" s="81">
        <f t="shared" si="323"/>
        <v>106.97395710066898</v>
      </c>
      <c r="J331" s="82">
        <f t="shared" si="324"/>
        <v>4.0999999999999999E-4</v>
      </c>
      <c r="K331" s="81"/>
      <c r="L331" s="81">
        <f t="shared" si="325"/>
        <v>3130945.0858732383</v>
      </c>
      <c r="M331" s="83">
        <f t="shared" si="320"/>
        <v>30451.562743268889</v>
      </c>
      <c r="N331" s="84"/>
      <c r="O331" s="72">
        <v>257</v>
      </c>
      <c r="P331" s="47" t="str">
        <f>IF(S330&gt;0.005,"May","")</f>
        <v/>
      </c>
      <c r="Q331" s="80">
        <f t="shared" si="334"/>
        <v>0</v>
      </c>
      <c r="R331" s="80">
        <f t="shared" si="326"/>
        <v>0</v>
      </c>
      <c r="S331" s="80">
        <f t="shared" si="327"/>
        <v>0</v>
      </c>
      <c r="T331" s="47"/>
      <c r="U331" s="84"/>
      <c r="V331" s="72">
        <v>257</v>
      </c>
      <c r="W331" s="47" t="e">
        <f>IF(Z330&gt;0.005,"May","")</f>
        <v>#NAME?</v>
      </c>
      <c r="X331" s="80" t="e">
        <f t="shared" si="328"/>
        <v>#NAME?</v>
      </c>
      <c r="Y331" s="80"/>
      <c r="Z331" s="80" t="e">
        <f t="shared" si="329"/>
        <v>#NAME?</v>
      </c>
      <c r="AA331" s="47"/>
      <c r="AB331" s="84"/>
      <c r="AC331" s="83"/>
      <c r="AD331" s="47" t="str">
        <f>IF(AG330&gt;0.005,"May","")</f>
        <v/>
      </c>
      <c r="AE331" s="80">
        <f t="shared" si="330"/>
        <v>0</v>
      </c>
      <c r="AF331" s="80">
        <f t="shared" si="331"/>
        <v>0</v>
      </c>
      <c r="AG331" s="80">
        <f t="shared" si="332"/>
        <v>0</v>
      </c>
      <c r="AH331" s="47"/>
    </row>
    <row r="332" spans="2:34" x14ac:dyDescent="0.25">
      <c r="B332" s="72">
        <v>258</v>
      </c>
      <c r="C332" s="47" t="str">
        <f>IF(F331&gt;0.005,"June","")</f>
        <v>June</v>
      </c>
      <c r="D332" s="80">
        <f t="shared" si="333"/>
        <v>7342.79</v>
      </c>
      <c r="E332" s="80">
        <f t="shared" si="321"/>
        <v>17300.32692622687</v>
      </c>
      <c r="F332" s="80">
        <f t="shared" si="322"/>
        <v>2131810.1099596983</v>
      </c>
      <c r="G332" s="47"/>
      <c r="I332" s="81">
        <f t="shared" si="323"/>
        <v>106.97395710066898</v>
      </c>
      <c r="J332" s="82">
        <f t="shared" si="324"/>
        <v>4.0999999999999999E-4</v>
      </c>
      <c r="K332" s="81"/>
      <c r="L332" s="81">
        <f t="shared" si="325"/>
        <v>3130945.0858732383</v>
      </c>
      <c r="M332" s="83">
        <f t="shared" si="320"/>
        <v>30749.582481770773</v>
      </c>
      <c r="N332" s="84"/>
      <c r="O332" s="72">
        <v>258</v>
      </c>
      <c r="P332" s="47" t="str">
        <f>IF(S331&gt;0.005,"June","")</f>
        <v/>
      </c>
      <c r="Q332" s="80">
        <f t="shared" si="334"/>
        <v>0</v>
      </c>
      <c r="R332" s="80">
        <f t="shared" si="326"/>
        <v>0</v>
      </c>
      <c r="S332" s="80">
        <f t="shared" si="327"/>
        <v>0</v>
      </c>
      <c r="T332" s="47"/>
      <c r="U332" s="84"/>
      <c r="V332" s="72">
        <v>258</v>
      </c>
      <c r="W332" s="47" t="e">
        <f>IF(Z331&gt;0.005,"June","")</f>
        <v>#NAME?</v>
      </c>
      <c r="X332" s="80" t="e">
        <f t="shared" si="328"/>
        <v>#NAME?</v>
      </c>
      <c r="Y332" s="80"/>
      <c r="Z332" s="80" t="e">
        <f t="shared" si="329"/>
        <v>#NAME?</v>
      </c>
      <c r="AA332" s="47"/>
      <c r="AB332" s="84"/>
      <c r="AC332" s="83"/>
      <c r="AD332" s="47" t="str">
        <f>IF(AG331&gt;0.005,"June","")</f>
        <v/>
      </c>
      <c r="AE332" s="80">
        <f t="shared" si="330"/>
        <v>0</v>
      </c>
      <c r="AF332" s="80">
        <f t="shared" si="331"/>
        <v>0</v>
      </c>
      <c r="AG332" s="80">
        <f t="shared" si="332"/>
        <v>0</v>
      </c>
      <c r="AH332" s="47"/>
    </row>
    <row r="333" spans="2:34" x14ac:dyDescent="0.25">
      <c r="B333" s="72">
        <v>259</v>
      </c>
      <c r="C333" s="47" t="str">
        <f>IF(F332&gt;0.005,"July","")</f>
        <v>July</v>
      </c>
      <c r="D333" s="80">
        <f t="shared" si="333"/>
        <v>7283.68</v>
      </c>
      <c r="E333" s="80">
        <f t="shared" si="321"/>
        <v>17359.43692622687</v>
      </c>
      <c r="F333" s="80">
        <f t="shared" si="322"/>
        <v>2114450.6730334712</v>
      </c>
      <c r="G333" s="47"/>
      <c r="I333" s="81">
        <f t="shared" si="323"/>
        <v>106.97395710066898</v>
      </c>
      <c r="J333" s="82">
        <f t="shared" si="324"/>
        <v>4.0999999999999999E-4</v>
      </c>
      <c r="K333" s="81"/>
      <c r="L333" s="81">
        <f t="shared" si="325"/>
        <v>3130945.0858732383</v>
      </c>
      <c r="M333" s="83">
        <f t="shared" si="320"/>
        <v>31053.503607264232</v>
      </c>
      <c r="N333" s="84"/>
      <c r="O333" s="72">
        <v>259</v>
      </c>
      <c r="P333" s="47" t="str">
        <f>IF(S332&gt;0.005,"July","")</f>
        <v/>
      </c>
      <c r="Q333" s="80">
        <f t="shared" si="334"/>
        <v>0</v>
      </c>
      <c r="R333" s="80">
        <f t="shared" si="326"/>
        <v>0</v>
      </c>
      <c r="S333" s="80">
        <f t="shared" si="327"/>
        <v>0</v>
      </c>
      <c r="T333" s="47"/>
      <c r="U333" s="84"/>
      <c r="V333" s="72">
        <v>259</v>
      </c>
      <c r="W333" s="47" t="e">
        <f>IF(Z332&gt;0.005,"July","")</f>
        <v>#NAME?</v>
      </c>
      <c r="X333" s="80" t="e">
        <f t="shared" si="328"/>
        <v>#NAME?</v>
      </c>
      <c r="Y333" s="80"/>
      <c r="Z333" s="80" t="e">
        <f t="shared" si="329"/>
        <v>#NAME?</v>
      </c>
      <c r="AA333" s="47"/>
      <c r="AB333" s="84"/>
      <c r="AC333" s="83"/>
      <c r="AD333" s="47" t="str">
        <f>IF(AG332&gt;0.005,"July","")</f>
        <v/>
      </c>
      <c r="AE333" s="80">
        <f t="shared" si="330"/>
        <v>0</v>
      </c>
      <c r="AF333" s="80">
        <f t="shared" si="331"/>
        <v>0</v>
      </c>
      <c r="AG333" s="80">
        <f t="shared" si="332"/>
        <v>0</v>
      </c>
      <c r="AH333" s="47"/>
    </row>
    <row r="334" spans="2:34" x14ac:dyDescent="0.25">
      <c r="B334" s="72">
        <v>260</v>
      </c>
      <c r="C334" s="47" t="str">
        <f>IF(F333&gt;0.005,"August","")</f>
        <v>August</v>
      </c>
      <c r="D334" s="80">
        <f t="shared" si="333"/>
        <v>7224.37</v>
      </c>
      <c r="E334" s="80">
        <f t="shared" si="321"/>
        <v>17418.746926226871</v>
      </c>
      <c r="F334" s="80">
        <f t="shared" si="322"/>
        <v>2097031.9261072443</v>
      </c>
      <c r="G334" s="47"/>
      <c r="I334" s="81">
        <f t="shared" si="323"/>
        <v>106.97395710066898</v>
      </c>
      <c r="J334" s="82">
        <f t="shared" si="324"/>
        <v>4.0999999999999999E-4</v>
      </c>
      <c r="K334" s="81"/>
      <c r="L334" s="81">
        <f t="shared" si="325"/>
        <v>3130945.0858732383</v>
      </c>
      <c r="M334" s="83">
        <f t="shared" si="320"/>
        <v>31363.503161359029</v>
      </c>
      <c r="N334" s="84"/>
      <c r="O334" s="72">
        <v>260</v>
      </c>
      <c r="P334" s="47" t="str">
        <f>IF(S333&gt;0.005,"August","")</f>
        <v/>
      </c>
      <c r="Q334" s="80">
        <f t="shared" si="334"/>
        <v>0</v>
      </c>
      <c r="R334" s="80">
        <f t="shared" si="326"/>
        <v>0</v>
      </c>
      <c r="S334" s="80">
        <f t="shared" si="327"/>
        <v>0</v>
      </c>
      <c r="T334" s="47"/>
      <c r="U334" s="84"/>
      <c r="V334" s="72">
        <v>260</v>
      </c>
      <c r="W334" s="47" t="e">
        <f>IF(Z333&gt;0.005,"August","")</f>
        <v>#NAME?</v>
      </c>
      <c r="X334" s="80" t="e">
        <f t="shared" si="328"/>
        <v>#NAME?</v>
      </c>
      <c r="Y334" s="80"/>
      <c r="Z334" s="80" t="e">
        <f t="shared" si="329"/>
        <v>#NAME?</v>
      </c>
      <c r="AA334" s="47"/>
      <c r="AB334" s="84"/>
      <c r="AC334" s="83"/>
      <c r="AD334" s="47" t="str">
        <f>IF(AG333&gt;0.005,"August","")</f>
        <v/>
      </c>
      <c r="AE334" s="80">
        <f t="shared" si="330"/>
        <v>0</v>
      </c>
      <c r="AF334" s="80">
        <f t="shared" si="331"/>
        <v>0</v>
      </c>
      <c r="AG334" s="80">
        <f t="shared" si="332"/>
        <v>0</v>
      </c>
      <c r="AH334" s="47"/>
    </row>
    <row r="335" spans="2:34" x14ac:dyDescent="0.25">
      <c r="B335" s="72">
        <v>261</v>
      </c>
      <c r="C335" s="47" t="str">
        <f>IF(F334&gt;0.005,"September","")</f>
        <v>September</v>
      </c>
      <c r="D335" s="80">
        <f t="shared" si="333"/>
        <v>7164.86</v>
      </c>
      <c r="E335" s="80">
        <f t="shared" si="321"/>
        <v>17478.25692622687</v>
      </c>
      <c r="F335" s="80">
        <f t="shared" si="322"/>
        <v>2079553.6691810174</v>
      </c>
      <c r="G335" s="47"/>
      <c r="I335" s="81">
        <f t="shared" si="323"/>
        <v>106.97395710066898</v>
      </c>
      <c r="J335" s="82">
        <f t="shared" si="324"/>
        <v>4.0999999999999999E-4</v>
      </c>
      <c r="K335" s="81"/>
      <c r="L335" s="81">
        <f t="shared" si="325"/>
        <v>3130945.0858732383</v>
      </c>
      <c r="M335" s="83">
        <f t="shared" si="320"/>
        <v>31679.76533886126</v>
      </c>
      <c r="N335" s="84"/>
      <c r="O335" s="72">
        <v>261</v>
      </c>
      <c r="P335" s="47" t="str">
        <f>IF(S334&gt;0.005,"September","")</f>
        <v/>
      </c>
      <c r="Q335" s="80">
        <f t="shared" si="334"/>
        <v>0</v>
      </c>
      <c r="R335" s="80">
        <f t="shared" si="326"/>
        <v>0</v>
      </c>
      <c r="S335" s="80">
        <f t="shared" si="327"/>
        <v>0</v>
      </c>
      <c r="T335" s="47"/>
      <c r="U335" s="84"/>
      <c r="V335" s="72">
        <v>261</v>
      </c>
      <c r="W335" s="47" t="e">
        <f>IF(Z334&gt;0.005,"September","")</f>
        <v>#NAME?</v>
      </c>
      <c r="X335" s="80" t="e">
        <f t="shared" si="328"/>
        <v>#NAME?</v>
      </c>
      <c r="Y335" s="80"/>
      <c r="Z335" s="80" t="e">
        <f t="shared" si="329"/>
        <v>#NAME?</v>
      </c>
      <c r="AA335" s="47"/>
      <c r="AB335" s="84"/>
      <c r="AC335" s="83"/>
      <c r="AD335" s="47" t="str">
        <f>IF(AG334&gt;0.005,"September","")</f>
        <v/>
      </c>
      <c r="AE335" s="80">
        <f t="shared" si="330"/>
        <v>0</v>
      </c>
      <c r="AF335" s="80">
        <f t="shared" si="331"/>
        <v>0</v>
      </c>
      <c r="AG335" s="80">
        <f t="shared" si="332"/>
        <v>0</v>
      </c>
      <c r="AH335" s="47"/>
    </row>
    <row r="336" spans="2:34" x14ac:dyDescent="0.25">
      <c r="B336" s="72">
        <v>262</v>
      </c>
      <c r="C336" s="47" t="str">
        <f>IF(F335&gt;0.005,"October","")</f>
        <v>October</v>
      </c>
      <c r="D336" s="80">
        <f t="shared" si="333"/>
        <v>7105.14</v>
      </c>
      <c r="E336" s="80">
        <f t="shared" si="321"/>
        <v>17537.976926226871</v>
      </c>
      <c r="F336" s="80">
        <f t="shared" si="322"/>
        <v>2062015.6922547906</v>
      </c>
      <c r="G336" s="47"/>
      <c r="I336" s="81">
        <f t="shared" si="323"/>
        <v>106.97395710066898</v>
      </c>
      <c r="J336" s="82">
        <f t="shared" si="324"/>
        <v>4.0999999999999999E-4</v>
      </c>
      <c r="K336" s="81"/>
      <c r="L336" s="81">
        <f t="shared" si="325"/>
        <v>3130945.0858732383</v>
      </c>
      <c r="M336" s="83">
        <f t="shared" si="320"/>
        <v>32002.48185273237</v>
      </c>
      <c r="N336" s="84"/>
      <c r="O336" s="72">
        <v>262</v>
      </c>
      <c r="P336" s="47" t="str">
        <f>IF(S335&gt;0.005,"October","")</f>
        <v/>
      </c>
      <c r="Q336" s="80">
        <f t="shared" si="334"/>
        <v>0</v>
      </c>
      <c r="R336" s="80">
        <f t="shared" si="326"/>
        <v>0</v>
      </c>
      <c r="S336" s="80">
        <f t="shared" si="327"/>
        <v>0</v>
      </c>
      <c r="T336" s="47"/>
      <c r="U336" s="84"/>
      <c r="V336" s="72">
        <v>262</v>
      </c>
      <c r="W336" s="47" t="e">
        <f>IF(Z335&gt;0.005,"October","")</f>
        <v>#NAME?</v>
      </c>
      <c r="X336" s="80" t="e">
        <f t="shared" si="328"/>
        <v>#NAME?</v>
      </c>
      <c r="Y336" s="80"/>
      <c r="Z336" s="80" t="e">
        <f t="shared" si="329"/>
        <v>#NAME?</v>
      </c>
      <c r="AA336" s="47"/>
      <c r="AB336" s="84"/>
      <c r="AC336" s="83"/>
      <c r="AD336" s="47" t="str">
        <f>IF(AG335&gt;0.005,"October","")</f>
        <v/>
      </c>
      <c r="AE336" s="80">
        <f t="shared" si="330"/>
        <v>0</v>
      </c>
      <c r="AF336" s="80">
        <f t="shared" si="331"/>
        <v>0</v>
      </c>
      <c r="AG336" s="80">
        <f t="shared" si="332"/>
        <v>0</v>
      </c>
      <c r="AH336" s="47"/>
    </row>
    <row r="337" spans="2:34" x14ac:dyDescent="0.25">
      <c r="B337" s="72">
        <v>263</v>
      </c>
      <c r="C337" s="47" t="str">
        <f>IF(F336&gt;0.005,"November","")</f>
        <v>November</v>
      </c>
      <c r="D337" s="80">
        <f t="shared" si="333"/>
        <v>7045.22</v>
      </c>
      <c r="E337" s="80">
        <f t="shared" si="321"/>
        <v>17597.896926226869</v>
      </c>
      <c r="F337" s="80">
        <f t="shared" si="322"/>
        <v>2044417.7953285638</v>
      </c>
      <c r="G337" s="47"/>
      <c r="I337" s="81">
        <f t="shared" si="323"/>
        <v>106.97395710066898</v>
      </c>
      <c r="J337" s="82">
        <f t="shared" si="324"/>
        <v>4.0999999999999999E-4</v>
      </c>
      <c r="K337" s="81"/>
      <c r="L337" s="81">
        <f t="shared" si="325"/>
        <v>3130945.0858732383</v>
      </c>
      <c r="M337" s="83">
        <f t="shared" si="320"/>
        <v>32331.852321622951</v>
      </c>
      <c r="N337" s="84"/>
      <c r="O337" s="72">
        <v>263</v>
      </c>
      <c r="P337" s="47" t="str">
        <f>IF(S336&gt;0.005,"November","")</f>
        <v/>
      </c>
      <c r="Q337" s="80">
        <f t="shared" si="334"/>
        <v>0</v>
      </c>
      <c r="R337" s="80">
        <f t="shared" si="326"/>
        <v>0</v>
      </c>
      <c r="S337" s="80">
        <f t="shared" si="327"/>
        <v>0</v>
      </c>
      <c r="T337" s="47"/>
      <c r="U337" s="84"/>
      <c r="V337" s="72">
        <v>263</v>
      </c>
      <c r="W337" s="47" t="e">
        <f>IF(Z336&gt;0.005,"November","")</f>
        <v>#NAME?</v>
      </c>
      <c r="X337" s="80" t="e">
        <f t="shared" si="328"/>
        <v>#NAME?</v>
      </c>
      <c r="Y337" s="80"/>
      <c r="Z337" s="80" t="e">
        <f t="shared" si="329"/>
        <v>#NAME?</v>
      </c>
      <c r="AA337" s="47"/>
      <c r="AB337" s="84"/>
      <c r="AC337" s="83"/>
      <c r="AD337" s="47" t="str">
        <f>IF(AG336&gt;0.005,"November","")</f>
        <v/>
      </c>
      <c r="AE337" s="80">
        <f t="shared" si="330"/>
        <v>0</v>
      </c>
      <c r="AF337" s="80">
        <f t="shared" si="331"/>
        <v>0</v>
      </c>
      <c r="AG337" s="80">
        <f t="shared" si="332"/>
        <v>0</v>
      </c>
      <c r="AH337" s="47"/>
    </row>
    <row r="338" spans="2:34" x14ac:dyDescent="0.25">
      <c r="B338" s="72">
        <v>264</v>
      </c>
      <c r="C338" s="47" t="str">
        <f>IF(F337&gt;0.005,"December","")</f>
        <v>December</v>
      </c>
      <c r="D338" s="80">
        <f>IF(F337&gt;0,ROUND(F337*($F$6/12),2),0)</f>
        <v>6985.09</v>
      </c>
      <c r="E338" s="80">
        <f t="shared" si="321"/>
        <v>17658.02692622687</v>
      </c>
      <c r="F338" s="80">
        <f t="shared" si="322"/>
        <v>2026759.7684023369</v>
      </c>
      <c r="G338" s="47"/>
      <c r="I338" s="81">
        <f t="shared" si="323"/>
        <v>106.97395710066898</v>
      </c>
      <c r="J338" s="82">
        <f t="shared" si="324"/>
        <v>4.0999999999999999E-4</v>
      </c>
      <c r="K338" s="81"/>
      <c r="L338" s="81">
        <f t="shared" si="325"/>
        <v>3130945.0858732383</v>
      </c>
      <c r="M338" s="83">
        <f t="shared" si="320"/>
        <v>32668.084681627355</v>
      </c>
      <c r="N338" s="84"/>
      <c r="O338" s="72">
        <v>264</v>
      </c>
      <c r="P338" s="47" t="str">
        <f>IF(S337&gt;0.005,"December","")</f>
        <v/>
      </c>
      <c r="Q338" s="80">
        <f t="shared" si="334"/>
        <v>0</v>
      </c>
      <c r="R338" s="80">
        <f t="shared" si="326"/>
        <v>0</v>
      </c>
      <c r="S338" s="80">
        <f t="shared" si="327"/>
        <v>0</v>
      </c>
      <c r="T338" s="47"/>
      <c r="U338" s="84"/>
      <c r="V338" s="72">
        <v>264</v>
      </c>
      <c r="W338" s="47" t="e">
        <f>IF(Z337&gt;0.005,"December","")</f>
        <v>#NAME?</v>
      </c>
      <c r="X338" s="80" t="e">
        <f t="shared" si="328"/>
        <v>#NAME?</v>
      </c>
      <c r="Y338" s="80"/>
      <c r="Z338" s="80" t="e">
        <f t="shared" si="329"/>
        <v>#NAME?</v>
      </c>
      <c r="AA338" s="47"/>
      <c r="AB338" s="84"/>
      <c r="AC338" s="83"/>
      <c r="AD338" s="47" t="str">
        <f>IF(AG337&gt;0.005,"December","")</f>
        <v/>
      </c>
      <c r="AE338" s="80">
        <f t="shared" si="330"/>
        <v>0</v>
      </c>
      <c r="AF338" s="80">
        <f t="shared" si="331"/>
        <v>0</v>
      </c>
      <c r="AG338" s="80">
        <f t="shared" si="332"/>
        <v>0</v>
      </c>
      <c r="AH338" s="47"/>
    </row>
    <row r="339" spans="2:34" x14ac:dyDescent="0.25">
      <c r="B339" s="46"/>
      <c r="C339" s="85" t="str">
        <f>"Total "&amp;YEAR($C$9)+21</f>
        <v>Total 2040</v>
      </c>
      <c r="D339" s="86">
        <f>SUM(D327:D338)</f>
        <v>87744.75</v>
      </c>
      <c r="E339" s="86">
        <f>SUM(E327:E338)</f>
        <v>207972.65311472246</v>
      </c>
      <c r="F339" s="87"/>
      <c r="G339" s="47"/>
      <c r="I339" s="86">
        <f>SUM(I327:I338)</f>
        <v>1283.6874852080275</v>
      </c>
      <c r="J339" s="46"/>
      <c r="K339" s="86">
        <f>SUM(K327:K338)</f>
        <v>0</v>
      </c>
      <c r="L339" s="46"/>
      <c r="M339" s="46"/>
      <c r="O339" s="46"/>
      <c r="P339" s="85" t="str">
        <f>"Total "&amp;YEAR($C$9)+21</f>
        <v>Total 2040</v>
      </c>
      <c r="Q339" s="86">
        <f>SUM(Q327:Q338)</f>
        <v>0</v>
      </c>
      <c r="R339" s="86">
        <f>SUM(R327:R338)</f>
        <v>0</v>
      </c>
      <c r="S339" s="87"/>
      <c r="T339" s="47"/>
      <c r="V339" s="46"/>
      <c r="W339" s="85" t="str">
        <f>"Total "&amp;YEAR($C$9)+21</f>
        <v>Total 2040</v>
      </c>
      <c r="X339" s="86" t="e">
        <f>SUM(X327:X338)</f>
        <v>#NAME?</v>
      </c>
      <c r="Y339" s="86">
        <f>SUM(Y327:Y338)</f>
        <v>0</v>
      </c>
      <c r="Z339" s="87"/>
      <c r="AA339" s="47"/>
      <c r="AC339" s="46"/>
      <c r="AD339" s="85" t="str">
        <f>"Total "&amp;YEAR($C$9)+21</f>
        <v>Total 2040</v>
      </c>
      <c r="AE339" s="86">
        <f>SUM(AE327:AE338)</f>
        <v>0</v>
      </c>
      <c r="AF339" s="86">
        <f>SUM(AF327:AF338)</f>
        <v>0</v>
      </c>
      <c r="AG339" s="87"/>
      <c r="AH339" s="47"/>
    </row>
    <row r="340" spans="2:34" x14ac:dyDescent="0.25">
      <c r="B340" s="46"/>
      <c r="C340" s="47"/>
      <c r="D340" s="80"/>
      <c r="E340" s="80"/>
      <c r="F340" s="80"/>
      <c r="G340" s="47"/>
      <c r="I340" s="46"/>
      <c r="J340" s="46"/>
      <c r="K340" s="46"/>
      <c r="L340" s="46"/>
      <c r="M340" s="46"/>
      <c r="O340" s="46"/>
      <c r="P340" s="47"/>
      <c r="Q340" s="80"/>
      <c r="R340" s="80"/>
      <c r="S340" s="80"/>
      <c r="T340" s="47"/>
      <c r="V340" s="46"/>
      <c r="W340" s="47"/>
      <c r="X340" s="80"/>
      <c r="Y340" s="80"/>
      <c r="Z340" s="80"/>
      <c r="AA340" s="47"/>
      <c r="AC340" s="46"/>
      <c r="AD340" s="47"/>
      <c r="AE340" s="80"/>
      <c r="AF340" s="80"/>
      <c r="AG340" s="80"/>
      <c r="AH340" s="47"/>
    </row>
    <row r="341" spans="2:34" x14ac:dyDescent="0.25">
      <c r="B341" s="46"/>
      <c r="C341" s="47"/>
      <c r="D341" s="75" t="s">
        <v>62</v>
      </c>
      <c r="E341" s="75" t="s">
        <v>63</v>
      </c>
      <c r="F341" s="75" t="s">
        <v>64</v>
      </c>
      <c r="G341" s="47"/>
      <c r="I341" s="46"/>
      <c r="J341" s="46"/>
      <c r="K341" s="46"/>
      <c r="L341" s="46"/>
      <c r="M341" s="46"/>
      <c r="O341" s="46"/>
      <c r="P341" s="47"/>
      <c r="Q341" s="75" t="s">
        <v>62</v>
      </c>
      <c r="R341" s="75" t="s">
        <v>63</v>
      </c>
      <c r="S341" s="75" t="s">
        <v>64</v>
      </c>
      <c r="T341" s="47"/>
      <c r="V341" s="46"/>
      <c r="W341" s="47"/>
      <c r="X341" s="75" t="s">
        <v>62</v>
      </c>
      <c r="Y341" s="75" t="s">
        <v>63</v>
      </c>
      <c r="Z341" s="75" t="s">
        <v>64</v>
      </c>
      <c r="AA341" s="47"/>
      <c r="AC341" s="46"/>
      <c r="AD341" s="47"/>
      <c r="AE341" s="75" t="s">
        <v>62</v>
      </c>
      <c r="AF341" s="75" t="s">
        <v>63</v>
      </c>
      <c r="AG341" s="75" t="s">
        <v>64</v>
      </c>
      <c r="AH341" s="47"/>
    </row>
    <row r="342" spans="2:34" x14ac:dyDescent="0.25">
      <c r="B342" s="72">
        <v>265</v>
      </c>
      <c r="C342" s="47" t="str">
        <f>IF(F338&gt;0.005,"January","")</f>
        <v>January</v>
      </c>
      <c r="D342" s="80">
        <f>IF(F338&gt;0,ROUND(F338*($F$6/12),2),0)</f>
        <v>6924.76</v>
      </c>
      <c r="E342" s="80">
        <f>IF(F338&lt;$D$8,F338,$D$8-D342)</f>
        <v>17718.356926226872</v>
      </c>
      <c r="F342" s="80">
        <f>IF(F338-E342&gt;0,F338-E342,0)</f>
        <v>2009041.4114761101</v>
      </c>
      <c r="G342" s="47"/>
      <c r="I342" s="81">
        <f>L338*J342/12</f>
        <v>106.97395710066898</v>
      </c>
      <c r="J342" s="82">
        <f>$F$6/100</f>
        <v>4.0999999999999999E-4</v>
      </c>
      <c r="K342" s="81"/>
      <c r="L342" s="81">
        <f>MAX(L338+L338*($F$6/100)/12-I342-K342,0)</f>
        <v>3130945.0858732383</v>
      </c>
      <c r="M342" s="83">
        <f t="shared" ref="M342:M353" si="335">-PMT(($F$6/100)/12,$D$7-B342,L342,0,0)</f>
        <v>33011.395624043922</v>
      </c>
      <c r="N342" s="84"/>
      <c r="O342" s="72">
        <v>265</v>
      </c>
      <c r="P342" s="47" t="str">
        <f>IF(S338&gt;0.005,"January","")</f>
        <v/>
      </c>
      <c r="Q342" s="80">
        <f>IF(O342&lt;$S$7,"",IF(O342=$S$7,$Q$6*($S$6/12),S338*($S$6/12)))</f>
        <v>0</v>
      </c>
      <c r="R342" s="80">
        <f>IF(O342&lt;$S$7,"",$Q$8-Q342)</f>
        <v>0</v>
      </c>
      <c r="S342" s="80">
        <f>IF(O342&lt;$S$7,"",IF(O342=$S$7,$Q$6-R342,S338-R342))</f>
        <v>0</v>
      </c>
      <c r="T342" s="47"/>
      <c r="U342" s="84"/>
      <c r="V342" s="72">
        <v>265</v>
      </c>
      <c r="W342" s="47" t="e">
        <f>IF(Z338&gt;0.005,"January","")</f>
        <v>#NAME?</v>
      </c>
      <c r="X342" s="80" t="e">
        <f>IF(V342&lt;$Z$7,"",($Z$6/12)*$X$6)</f>
        <v>#NAME?</v>
      </c>
      <c r="Y342" s="80"/>
      <c r="Z342" s="80" t="e">
        <f>IF(V342&lt;$S$7,"",$X$6)</f>
        <v>#NAME?</v>
      </c>
      <c r="AA342" s="47"/>
      <c r="AB342" s="84"/>
      <c r="AC342" s="83"/>
      <c r="AD342" s="47" t="str">
        <f>IF(AG338&gt;0.005,"January","")</f>
        <v/>
      </c>
      <c r="AE342" s="80">
        <f>IF(AG338&gt;0,ROUND(AG338*($AG$6/1200),2),0)</f>
        <v>0</v>
      </c>
      <c r="AF342" s="80">
        <f>IF(AG338&lt;$AE$8,AG338,$AE$8-AE342)</f>
        <v>0</v>
      </c>
      <c r="AG342" s="80">
        <f>IF(AG338-AF342&gt;0,AG338-AF342,0)</f>
        <v>0</v>
      </c>
      <c r="AH342" s="47"/>
    </row>
    <row r="343" spans="2:34" x14ac:dyDescent="0.25">
      <c r="B343" s="72">
        <v>266</v>
      </c>
      <c r="C343" s="47" t="str">
        <f>IF(F342&gt;0.005,"February","")</f>
        <v>February</v>
      </c>
      <c r="D343" s="80">
        <f>IF(F342&gt;0,ROUND(F342*($F$6/12),2),0)</f>
        <v>6864.22</v>
      </c>
      <c r="E343" s="80">
        <f t="shared" ref="E343:E353" si="336">IF(F342&lt;$D$8,F342,$D$8-D343)</f>
        <v>17778.896926226869</v>
      </c>
      <c r="F343" s="80">
        <f t="shared" ref="F343:F353" si="337">IF(F342-E343&gt;0,F342-E343,0)</f>
        <v>1991262.5145498833</v>
      </c>
      <c r="G343" s="47"/>
      <c r="I343" s="81">
        <f t="shared" ref="I343:I353" si="338">L342*J343/12</f>
        <v>106.97395710066898</v>
      </c>
      <c r="J343" s="82">
        <f t="shared" ref="J343:J353" si="339">$F$6/100</f>
        <v>4.0999999999999999E-4</v>
      </c>
      <c r="K343" s="81"/>
      <c r="L343" s="81">
        <f t="shared" ref="L343:L353" si="340">MAX(L342+L342*($F$6/100)/12-I343-K343,0)</f>
        <v>3130945.0858732383</v>
      </c>
      <c r="M343" s="83">
        <f t="shared" si="335"/>
        <v>33362.01106107729</v>
      </c>
      <c r="N343" s="84"/>
      <c r="O343" s="72">
        <v>266</v>
      </c>
      <c r="P343" s="47" t="str">
        <f>IF(S342&gt;0.005,"February","")</f>
        <v/>
      </c>
      <c r="Q343" s="80">
        <f>IF(O343&lt;$S$7,"",IF(O343=$S$7,$Q$6*($S$6/12),S342*($S$6/12)))</f>
        <v>0</v>
      </c>
      <c r="R343" s="80">
        <f t="shared" ref="R343:R353" si="341">IF(O343&lt;$S$7,"",$Q$8-Q343)</f>
        <v>0</v>
      </c>
      <c r="S343" s="80">
        <f t="shared" ref="S343:S353" si="342">IF(O343&lt;$S$7,"",IF(O343=$S$7,$Q$6-R343,S342-R343))</f>
        <v>0</v>
      </c>
      <c r="T343" s="47"/>
      <c r="U343" s="84"/>
      <c r="V343" s="72">
        <v>266</v>
      </c>
      <c r="W343" s="47" t="e">
        <f>IF(Z342&gt;0.005,"February","")</f>
        <v>#NAME?</v>
      </c>
      <c r="X343" s="80" t="e">
        <f t="shared" ref="X343:X353" si="343">IF(V343&lt;$Z$7,"",($Z$6/12)*$X$6)</f>
        <v>#NAME?</v>
      </c>
      <c r="Y343" s="80"/>
      <c r="Z343" s="80" t="e">
        <f t="shared" ref="Z343:Z353" si="344">IF(V343&lt;$S$7,"",$X$6)</f>
        <v>#NAME?</v>
      </c>
      <c r="AA343" s="47"/>
      <c r="AB343" s="84"/>
      <c r="AC343" s="83"/>
      <c r="AD343" s="47" t="str">
        <f>IF(AG342&gt;0.005,"February","")</f>
        <v/>
      </c>
      <c r="AE343" s="80">
        <f t="shared" ref="AE343:AE353" si="345">IF(AG342&gt;0,ROUND(AG342*($AG$6/1200),2),0)</f>
        <v>0</v>
      </c>
      <c r="AF343" s="80">
        <f t="shared" ref="AF343:AF353" si="346">IF(AG342&lt;$AE$8,AG342,$AE$8-AE343)</f>
        <v>0</v>
      </c>
      <c r="AG343" s="80">
        <f t="shared" ref="AG343:AG353" si="347">IF(AG342-AF343&gt;0,AG342-AF343,0)</f>
        <v>0</v>
      </c>
      <c r="AH343" s="47"/>
    </row>
    <row r="344" spans="2:34" x14ac:dyDescent="0.25">
      <c r="B344" s="72">
        <v>267</v>
      </c>
      <c r="C344" s="47" t="str">
        <f>IF(F343&gt;0.005,"March","")</f>
        <v>March</v>
      </c>
      <c r="D344" s="80">
        <f t="shared" ref="D344:D352" si="348">IF(F343&gt;0,ROUND(F343*($F$6/12),2),0)</f>
        <v>6803.48</v>
      </c>
      <c r="E344" s="80">
        <f t="shared" si="336"/>
        <v>17839.636926226871</v>
      </c>
      <c r="F344" s="80">
        <f t="shared" si="337"/>
        <v>1973422.8776236565</v>
      </c>
      <c r="G344" s="47"/>
      <c r="I344" s="81">
        <f t="shared" si="338"/>
        <v>106.97395710066898</v>
      </c>
      <c r="J344" s="82">
        <f t="shared" si="339"/>
        <v>4.0999999999999999E-4</v>
      </c>
      <c r="K344" s="81"/>
      <c r="L344" s="81">
        <f t="shared" si="340"/>
        <v>3130945.0858732383</v>
      </c>
      <c r="M344" s="83">
        <f t="shared" si="335"/>
        <v>33720.166621586053</v>
      </c>
      <c r="N344" s="84"/>
      <c r="O344" s="72">
        <v>267</v>
      </c>
      <c r="P344" s="47" t="str">
        <f>IF(S343&gt;0.005,"March","")</f>
        <v/>
      </c>
      <c r="Q344" s="80">
        <f t="shared" ref="Q344:Q353" si="349">IF(O344&lt;$S$7,"",IF(O344=$S$7,$Q$6*($S$6/12),S343*($S$6/12)))</f>
        <v>0</v>
      </c>
      <c r="R344" s="80">
        <f t="shared" si="341"/>
        <v>0</v>
      </c>
      <c r="S344" s="80">
        <f t="shared" si="342"/>
        <v>0</v>
      </c>
      <c r="T344" s="47"/>
      <c r="U344" s="84"/>
      <c r="V344" s="72">
        <v>267</v>
      </c>
      <c r="W344" s="47" t="e">
        <f>IF(Z343&gt;0.005,"March","")</f>
        <v>#NAME?</v>
      </c>
      <c r="X344" s="80" t="e">
        <f t="shared" si="343"/>
        <v>#NAME?</v>
      </c>
      <c r="Y344" s="80"/>
      <c r="Z344" s="80" t="e">
        <f t="shared" si="344"/>
        <v>#NAME?</v>
      </c>
      <c r="AA344" s="47"/>
      <c r="AB344" s="84"/>
      <c r="AC344" s="83"/>
      <c r="AD344" s="47" t="str">
        <f>IF(AG343&gt;0.005,"March","")</f>
        <v/>
      </c>
      <c r="AE344" s="80">
        <f t="shared" si="345"/>
        <v>0</v>
      </c>
      <c r="AF344" s="80">
        <f t="shared" si="346"/>
        <v>0</v>
      </c>
      <c r="AG344" s="80">
        <f t="shared" si="347"/>
        <v>0</v>
      </c>
      <c r="AH344" s="47"/>
    </row>
    <row r="345" spans="2:34" x14ac:dyDescent="0.25">
      <c r="B345" s="72">
        <v>268</v>
      </c>
      <c r="C345" s="47" t="str">
        <f>IF(F344&gt;0.005,"April","")</f>
        <v>April</v>
      </c>
      <c r="D345" s="80">
        <f t="shared" si="348"/>
        <v>6742.53</v>
      </c>
      <c r="E345" s="80">
        <f t="shared" si="336"/>
        <v>17900.586926226872</v>
      </c>
      <c r="F345" s="80">
        <f t="shared" si="337"/>
        <v>1955522.2906974296</v>
      </c>
      <c r="G345" s="47"/>
      <c r="I345" s="81">
        <f t="shared" si="338"/>
        <v>106.97395710066898</v>
      </c>
      <c r="J345" s="82">
        <f t="shared" si="339"/>
        <v>4.0999999999999999E-4</v>
      </c>
      <c r="K345" s="81"/>
      <c r="L345" s="81">
        <f t="shared" si="340"/>
        <v>3130945.0858732383</v>
      </c>
      <c r="M345" s="83">
        <f t="shared" si="335"/>
        <v>34086.108179161834</v>
      </c>
      <c r="N345" s="84"/>
      <c r="O345" s="72">
        <v>268</v>
      </c>
      <c r="P345" s="47" t="str">
        <f>IF(S344&gt;0.005,"April","")</f>
        <v/>
      </c>
      <c r="Q345" s="80">
        <f t="shared" si="349"/>
        <v>0</v>
      </c>
      <c r="R345" s="80">
        <f t="shared" si="341"/>
        <v>0</v>
      </c>
      <c r="S345" s="80">
        <f t="shared" si="342"/>
        <v>0</v>
      </c>
      <c r="T345" s="47"/>
      <c r="U345" s="84"/>
      <c r="V345" s="72">
        <v>268</v>
      </c>
      <c r="W345" s="47" t="e">
        <f>IF(Z344&gt;0.005,"April","")</f>
        <v>#NAME?</v>
      </c>
      <c r="X345" s="80" t="e">
        <f t="shared" si="343"/>
        <v>#NAME?</v>
      </c>
      <c r="Y345" s="80"/>
      <c r="Z345" s="80" t="e">
        <f t="shared" si="344"/>
        <v>#NAME?</v>
      </c>
      <c r="AA345" s="47"/>
      <c r="AB345" s="84"/>
      <c r="AC345" s="83"/>
      <c r="AD345" s="47" t="str">
        <f>IF(AG344&gt;0.005,"April","")</f>
        <v/>
      </c>
      <c r="AE345" s="80">
        <f t="shared" si="345"/>
        <v>0</v>
      </c>
      <c r="AF345" s="80">
        <f t="shared" si="346"/>
        <v>0</v>
      </c>
      <c r="AG345" s="80">
        <f t="shared" si="347"/>
        <v>0</v>
      </c>
      <c r="AH345" s="47"/>
    </row>
    <row r="346" spans="2:34" x14ac:dyDescent="0.25">
      <c r="B346" s="72">
        <v>269</v>
      </c>
      <c r="C346" s="47" t="str">
        <f>IF(F345&gt;0.005,"May","")</f>
        <v>May</v>
      </c>
      <c r="D346" s="80">
        <f t="shared" si="348"/>
        <v>6681.37</v>
      </c>
      <c r="E346" s="80">
        <f t="shared" si="336"/>
        <v>17961.746926226871</v>
      </c>
      <c r="F346" s="80">
        <f t="shared" si="337"/>
        <v>1937560.5437712027</v>
      </c>
      <c r="G346" s="47"/>
      <c r="I346" s="81">
        <f t="shared" si="338"/>
        <v>106.97395710066898</v>
      </c>
      <c r="J346" s="82">
        <f t="shared" si="339"/>
        <v>4.0999999999999999E-4</v>
      </c>
      <c r="K346" s="81"/>
      <c r="L346" s="81">
        <f t="shared" si="340"/>
        <v>3130945.0858732383</v>
      </c>
      <c r="M346" s="83">
        <f t="shared" si="335"/>
        <v>34460.092415026578</v>
      </c>
      <c r="N346" s="84"/>
      <c r="O346" s="72">
        <v>269</v>
      </c>
      <c r="P346" s="47" t="str">
        <f>IF(S345&gt;0.005,"May","")</f>
        <v/>
      </c>
      <c r="Q346" s="80">
        <f t="shared" si="349"/>
        <v>0</v>
      </c>
      <c r="R346" s="80">
        <f t="shared" si="341"/>
        <v>0</v>
      </c>
      <c r="S346" s="80">
        <f t="shared" si="342"/>
        <v>0</v>
      </c>
      <c r="T346" s="47"/>
      <c r="U346" s="84"/>
      <c r="V346" s="72">
        <v>269</v>
      </c>
      <c r="W346" s="47" t="e">
        <f>IF(Z345&gt;0.005,"May","")</f>
        <v>#NAME?</v>
      </c>
      <c r="X346" s="80" t="e">
        <f t="shared" si="343"/>
        <v>#NAME?</v>
      </c>
      <c r="Y346" s="80"/>
      <c r="Z346" s="80" t="e">
        <f t="shared" si="344"/>
        <v>#NAME?</v>
      </c>
      <c r="AA346" s="47"/>
      <c r="AB346" s="84"/>
      <c r="AC346" s="83"/>
      <c r="AD346" s="47" t="str">
        <f>IF(AG345&gt;0.005,"May","")</f>
        <v/>
      </c>
      <c r="AE346" s="80">
        <f t="shared" si="345"/>
        <v>0</v>
      </c>
      <c r="AF346" s="80">
        <f t="shared" si="346"/>
        <v>0</v>
      </c>
      <c r="AG346" s="80">
        <f t="shared" si="347"/>
        <v>0</v>
      </c>
      <c r="AH346" s="47"/>
    </row>
    <row r="347" spans="2:34" x14ac:dyDescent="0.25">
      <c r="B347" s="72">
        <v>270</v>
      </c>
      <c r="C347" s="47" t="str">
        <f>IF(F346&gt;0.005,"June","")</f>
        <v>June</v>
      </c>
      <c r="D347" s="80">
        <f t="shared" si="348"/>
        <v>6620</v>
      </c>
      <c r="E347" s="80">
        <f t="shared" si="336"/>
        <v>18023.11692622687</v>
      </c>
      <c r="F347" s="80">
        <f t="shared" si="337"/>
        <v>1919537.4268449759</v>
      </c>
      <c r="G347" s="47"/>
      <c r="I347" s="81">
        <f t="shared" si="338"/>
        <v>106.97395710066898</v>
      </c>
      <c r="J347" s="82">
        <f t="shared" si="339"/>
        <v>4.0999999999999999E-4</v>
      </c>
      <c r="K347" s="81"/>
      <c r="L347" s="81">
        <f t="shared" si="340"/>
        <v>3130945.0858732383</v>
      </c>
      <c r="M347" s="83">
        <f t="shared" si="335"/>
        <v>34842.387418456623</v>
      </c>
      <c r="N347" s="84"/>
      <c r="O347" s="72">
        <v>270</v>
      </c>
      <c r="P347" s="47" t="str">
        <f>IF(S346&gt;0.005,"June","")</f>
        <v/>
      </c>
      <c r="Q347" s="80">
        <f t="shared" si="349"/>
        <v>0</v>
      </c>
      <c r="R347" s="80">
        <f t="shared" si="341"/>
        <v>0</v>
      </c>
      <c r="S347" s="80">
        <f t="shared" si="342"/>
        <v>0</v>
      </c>
      <c r="T347" s="47"/>
      <c r="U347" s="84"/>
      <c r="V347" s="72">
        <v>270</v>
      </c>
      <c r="W347" s="47" t="e">
        <f>IF(Z346&gt;0.005,"June","")</f>
        <v>#NAME?</v>
      </c>
      <c r="X347" s="80" t="e">
        <f t="shared" si="343"/>
        <v>#NAME?</v>
      </c>
      <c r="Y347" s="80"/>
      <c r="Z347" s="80" t="e">
        <f t="shared" si="344"/>
        <v>#NAME?</v>
      </c>
      <c r="AA347" s="47"/>
      <c r="AB347" s="84"/>
      <c r="AC347" s="83"/>
      <c r="AD347" s="47" t="str">
        <f>IF(AG346&gt;0.005,"June","")</f>
        <v/>
      </c>
      <c r="AE347" s="80">
        <f t="shared" si="345"/>
        <v>0</v>
      </c>
      <c r="AF347" s="80">
        <f t="shared" si="346"/>
        <v>0</v>
      </c>
      <c r="AG347" s="80">
        <f t="shared" si="347"/>
        <v>0</v>
      </c>
      <c r="AH347" s="47"/>
    </row>
    <row r="348" spans="2:34" x14ac:dyDescent="0.25">
      <c r="B348" s="72">
        <v>271</v>
      </c>
      <c r="C348" s="47" t="str">
        <f>IF(F347&gt;0.005,"July","")</f>
        <v>July</v>
      </c>
      <c r="D348" s="80">
        <f t="shared" si="348"/>
        <v>6558.42</v>
      </c>
      <c r="E348" s="80">
        <f t="shared" si="336"/>
        <v>18084.696926226869</v>
      </c>
      <c r="F348" s="80">
        <f t="shared" si="337"/>
        <v>1901452.7299187491</v>
      </c>
      <c r="G348" s="47"/>
      <c r="I348" s="81">
        <f t="shared" si="338"/>
        <v>106.97395710066898</v>
      </c>
      <c r="J348" s="82">
        <f t="shared" si="339"/>
        <v>4.0999999999999999E-4</v>
      </c>
      <c r="K348" s="81"/>
      <c r="L348" s="81">
        <f t="shared" si="340"/>
        <v>3130945.0858732383</v>
      </c>
      <c r="M348" s="83">
        <f t="shared" si="335"/>
        <v>35233.273327684503</v>
      </c>
      <c r="N348" s="84"/>
      <c r="O348" s="72">
        <v>271</v>
      </c>
      <c r="P348" s="47" t="str">
        <f>IF(S347&gt;0.005,"July","")</f>
        <v/>
      </c>
      <c r="Q348" s="80">
        <f t="shared" si="349"/>
        <v>0</v>
      </c>
      <c r="R348" s="80">
        <f t="shared" si="341"/>
        <v>0</v>
      </c>
      <c r="S348" s="80">
        <f t="shared" si="342"/>
        <v>0</v>
      </c>
      <c r="T348" s="47"/>
      <c r="U348" s="84"/>
      <c r="V348" s="72">
        <v>271</v>
      </c>
      <c r="W348" s="47" t="e">
        <f>IF(Z347&gt;0.005,"July","")</f>
        <v>#NAME?</v>
      </c>
      <c r="X348" s="80" t="e">
        <f t="shared" si="343"/>
        <v>#NAME?</v>
      </c>
      <c r="Y348" s="80"/>
      <c r="Z348" s="80" t="e">
        <f t="shared" si="344"/>
        <v>#NAME?</v>
      </c>
      <c r="AA348" s="47"/>
      <c r="AB348" s="84"/>
      <c r="AC348" s="83"/>
      <c r="AD348" s="47" t="str">
        <f>IF(AG347&gt;0.005,"July","")</f>
        <v/>
      </c>
      <c r="AE348" s="80">
        <f t="shared" si="345"/>
        <v>0</v>
      </c>
      <c r="AF348" s="80">
        <f t="shared" si="346"/>
        <v>0</v>
      </c>
      <c r="AG348" s="80">
        <f t="shared" si="347"/>
        <v>0</v>
      </c>
      <c r="AH348" s="47"/>
    </row>
    <row r="349" spans="2:34" x14ac:dyDescent="0.25">
      <c r="B349" s="72">
        <v>272</v>
      </c>
      <c r="C349" s="47" t="str">
        <f>IF(F348&gt;0.005,"August","")</f>
        <v>August</v>
      </c>
      <c r="D349" s="80">
        <f t="shared" si="348"/>
        <v>6496.63</v>
      </c>
      <c r="E349" s="80">
        <f t="shared" si="336"/>
        <v>18146.486926226869</v>
      </c>
      <c r="F349" s="80">
        <f t="shared" si="337"/>
        <v>1883306.2429925222</v>
      </c>
      <c r="G349" s="47"/>
      <c r="I349" s="81">
        <f t="shared" si="338"/>
        <v>106.97395710066898</v>
      </c>
      <c r="J349" s="82">
        <f t="shared" si="339"/>
        <v>4.0999999999999999E-4</v>
      </c>
      <c r="K349" s="81"/>
      <c r="L349" s="81">
        <f t="shared" si="340"/>
        <v>3130945.0858732383</v>
      </c>
      <c r="M349" s="83">
        <f t="shared" si="335"/>
        <v>35633.043014498755</v>
      </c>
      <c r="N349" s="84"/>
      <c r="O349" s="72">
        <v>272</v>
      </c>
      <c r="P349" s="47" t="str">
        <f>IF(S348&gt;0.005,"August","")</f>
        <v/>
      </c>
      <c r="Q349" s="80">
        <f t="shared" si="349"/>
        <v>0</v>
      </c>
      <c r="R349" s="80">
        <f t="shared" si="341"/>
        <v>0</v>
      </c>
      <c r="S349" s="80">
        <f t="shared" si="342"/>
        <v>0</v>
      </c>
      <c r="T349" s="47"/>
      <c r="U349" s="84"/>
      <c r="V349" s="72">
        <v>272</v>
      </c>
      <c r="W349" s="47" t="e">
        <f>IF(Z348&gt;0.005,"August","")</f>
        <v>#NAME?</v>
      </c>
      <c r="X349" s="80" t="e">
        <f t="shared" si="343"/>
        <v>#NAME?</v>
      </c>
      <c r="Y349" s="80"/>
      <c r="Z349" s="80" t="e">
        <f t="shared" si="344"/>
        <v>#NAME?</v>
      </c>
      <c r="AA349" s="47"/>
      <c r="AB349" s="84"/>
      <c r="AC349" s="83"/>
      <c r="AD349" s="47" t="str">
        <f>IF(AG348&gt;0.005,"August","")</f>
        <v/>
      </c>
      <c r="AE349" s="80">
        <f t="shared" si="345"/>
        <v>0</v>
      </c>
      <c r="AF349" s="80">
        <f t="shared" si="346"/>
        <v>0</v>
      </c>
      <c r="AG349" s="80">
        <f t="shared" si="347"/>
        <v>0</v>
      </c>
      <c r="AH349" s="47"/>
    </row>
    <row r="350" spans="2:34" x14ac:dyDescent="0.25">
      <c r="B350" s="72">
        <v>273</v>
      </c>
      <c r="C350" s="47" t="str">
        <f>IF(F349&gt;0.005,"September","")</f>
        <v>September</v>
      </c>
      <c r="D350" s="80">
        <f t="shared" si="348"/>
        <v>6434.63</v>
      </c>
      <c r="E350" s="80">
        <f t="shared" si="336"/>
        <v>18208.486926226869</v>
      </c>
      <c r="F350" s="80">
        <f t="shared" si="337"/>
        <v>1865097.7560662953</v>
      </c>
      <c r="G350" s="47"/>
      <c r="I350" s="81">
        <f t="shared" si="338"/>
        <v>106.97395710066898</v>
      </c>
      <c r="J350" s="82">
        <f t="shared" si="339"/>
        <v>4.0999999999999999E-4</v>
      </c>
      <c r="K350" s="81"/>
      <c r="L350" s="81">
        <f t="shared" si="340"/>
        <v>3130945.0858732383</v>
      </c>
      <c r="M350" s="83">
        <f t="shared" si="335"/>
        <v>36042.002816057546</v>
      </c>
      <c r="N350" s="84"/>
      <c r="O350" s="72">
        <v>273</v>
      </c>
      <c r="P350" s="47" t="str">
        <f>IF(S349&gt;0.005,"September","")</f>
        <v/>
      </c>
      <c r="Q350" s="80">
        <f t="shared" si="349"/>
        <v>0</v>
      </c>
      <c r="R350" s="80">
        <f t="shared" si="341"/>
        <v>0</v>
      </c>
      <c r="S350" s="80">
        <f t="shared" si="342"/>
        <v>0</v>
      </c>
      <c r="T350" s="47"/>
      <c r="U350" s="84"/>
      <c r="V350" s="72">
        <v>273</v>
      </c>
      <c r="W350" s="47" t="e">
        <f>IF(Z349&gt;0.005,"September","")</f>
        <v>#NAME?</v>
      </c>
      <c r="X350" s="80" t="e">
        <f t="shared" si="343"/>
        <v>#NAME?</v>
      </c>
      <c r="Y350" s="80"/>
      <c r="Z350" s="80" t="e">
        <f t="shared" si="344"/>
        <v>#NAME?</v>
      </c>
      <c r="AA350" s="47"/>
      <c r="AB350" s="84"/>
      <c r="AC350" s="83"/>
      <c r="AD350" s="47" t="str">
        <f>IF(AG349&gt;0.005,"September","")</f>
        <v/>
      </c>
      <c r="AE350" s="80">
        <f t="shared" si="345"/>
        <v>0</v>
      </c>
      <c r="AF350" s="80">
        <f t="shared" si="346"/>
        <v>0</v>
      </c>
      <c r="AG350" s="80">
        <f t="shared" si="347"/>
        <v>0</v>
      </c>
      <c r="AH350" s="47"/>
    </row>
    <row r="351" spans="2:34" x14ac:dyDescent="0.25">
      <c r="B351" s="72">
        <v>274</v>
      </c>
      <c r="C351" s="47" t="str">
        <f>IF(F350&gt;0.005,"October","")</f>
        <v>October</v>
      </c>
      <c r="D351" s="80">
        <f t="shared" si="348"/>
        <v>6372.42</v>
      </c>
      <c r="E351" s="80">
        <f t="shared" si="336"/>
        <v>18270.696926226869</v>
      </c>
      <c r="F351" s="80">
        <f t="shared" si="337"/>
        <v>1846827.0591400685</v>
      </c>
      <c r="G351" s="47"/>
      <c r="I351" s="81">
        <f t="shared" si="338"/>
        <v>106.97395710066898</v>
      </c>
      <c r="J351" s="82">
        <f t="shared" si="339"/>
        <v>4.0999999999999999E-4</v>
      </c>
      <c r="K351" s="81"/>
      <c r="L351" s="81">
        <f t="shared" si="340"/>
        <v>3130945.0858732383</v>
      </c>
      <c r="M351" s="83">
        <f t="shared" si="335"/>
        <v>36460.473317758937</v>
      </c>
      <c r="N351" s="84"/>
      <c r="O351" s="72">
        <v>274</v>
      </c>
      <c r="P351" s="47" t="str">
        <f>IF(S350&gt;0.005,"October","")</f>
        <v/>
      </c>
      <c r="Q351" s="80">
        <f t="shared" si="349"/>
        <v>0</v>
      </c>
      <c r="R351" s="80">
        <f t="shared" si="341"/>
        <v>0</v>
      </c>
      <c r="S351" s="80">
        <f t="shared" si="342"/>
        <v>0</v>
      </c>
      <c r="T351" s="47"/>
      <c r="U351" s="84"/>
      <c r="V351" s="72">
        <v>274</v>
      </c>
      <c r="W351" s="47" t="e">
        <f>IF(Z350&gt;0.005,"October","")</f>
        <v>#NAME?</v>
      </c>
      <c r="X351" s="80" t="e">
        <f t="shared" si="343"/>
        <v>#NAME?</v>
      </c>
      <c r="Y351" s="80"/>
      <c r="Z351" s="80" t="e">
        <f t="shared" si="344"/>
        <v>#NAME?</v>
      </c>
      <c r="AA351" s="47"/>
      <c r="AB351" s="84"/>
      <c r="AC351" s="83"/>
      <c r="AD351" s="47" t="str">
        <f>IF(AG350&gt;0.005,"October","")</f>
        <v/>
      </c>
      <c r="AE351" s="80">
        <f t="shared" si="345"/>
        <v>0</v>
      </c>
      <c r="AF351" s="80">
        <f t="shared" si="346"/>
        <v>0</v>
      </c>
      <c r="AG351" s="80">
        <f t="shared" si="347"/>
        <v>0</v>
      </c>
      <c r="AH351" s="47"/>
    </row>
    <row r="352" spans="2:34" x14ac:dyDescent="0.25">
      <c r="B352" s="72">
        <v>275</v>
      </c>
      <c r="C352" s="47" t="str">
        <f>IF(F351&gt;0.005,"November","")</f>
        <v>November</v>
      </c>
      <c r="D352" s="80">
        <f t="shared" si="348"/>
        <v>6309.99</v>
      </c>
      <c r="E352" s="80">
        <f t="shared" si="336"/>
        <v>18333.126926226869</v>
      </c>
      <c r="F352" s="80">
        <f t="shared" si="337"/>
        <v>1828493.9322138417</v>
      </c>
      <c r="G352" s="47"/>
      <c r="I352" s="81">
        <f t="shared" si="338"/>
        <v>106.97395710066898</v>
      </c>
      <c r="J352" s="82">
        <f t="shared" si="339"/>
        <v>4.0999999999999999E-4</v>
      </c>
      <c r="K352" s="81"/>
      <c r="L352" s="81">
        <f t="shared" si="340"/>
        <v>3130945.0858732383</v>
      </c>
      <c r="M352" s="83">
        <f t="shared" si="335"/>
        <v>36888.790191372675</v>
      </c>
      <c r="N352" s="84"/>
      <c r="O352" s="72">
        <v>275</v>
      </c>
      <c r="P352" s="47" t="str">
        <f>IF(S351&gt;0.005,"November","")</f>
        <v/>
      </c>
      <c r="Q352" s="80">
        <f t="shared" si="349"/>
        <v>0</v>
      </c>
      <c r="R352" s="80">
        <f t="shared" si="341"/>
        <v>0</v>
      </c>
      <c r="S352" s="80">
        <f t="shared" si="342"/>
        <v>0</v>
      </c>
      <c r="T352" s="47"/>
      <c r="U352" s="84"/>
      <c r="V352" s="72">
        <v>275</v>
      </c>
      <c r="W352" s="47" t="e">
        <f>IF(Z351&gt;0.005,"November","")</f>
        <v>#NAME?</v>
      </c>
      <c r="X352" s="80" t="e">
        <f t="shared" si="343"/>
        <v>#NAME?</v>
      </c>
      <c r="Y352" s="80"/>
      <c r="Z352" s="80" t="e">
        <f t="shared" si="344"/>
        <v>#NAME?</v>
      </c>
      <c r="AA352" s="47"/>
      <c r="AB352" s="84"/>
      <c r="AC352" s="83"/>
      <c r="AD352" s="47" t="str">
        <f>IF(AG351&gt;0.005,"November","")</f>
        <v/>
      </c>
      <c r="AE352" s="80">
        <f t="shared" si="345"/>
        <v>0</v>
      </c>
      <c r="AF352" s="80">
        <f t="shared" si="346"/>
        <v>0</v>
      </c>
      <c r="AG352" s="80">
        <f t="shared" si="347"/>
        <v>0</v>
      </c>
      <c r="AH352" s="47"/>
    </row>
    <row r="353" spans="2:34" x14ac:dyDescent="0.25">
      <c r="B353" s="72">
        <v>276</v>
      </c>
      <c r="C353" s="47" t="str">
        <f>IF(F352&gt;0.005,"December","")</f>
        <v>December</v>
      </c>
      <c r="D353" s="80">
        <f>IF(F352&gt;0,ROUND(F352*($F$6/12),2),0)</f>
        <v>6247.35</v>
      </c>
      <c r="E353" s="80">
        <f t="shared" si="336"/>
        <v>18395.766926226868</v>
      </c>
      <c r="F353" s="80">
        <f t="shared" si="337"/>
        <v>1810098.1652876148</v>
      </c>
      <c r="G353" s="47"/>
      <c r="I353" s="81">
        <f t="shared" si="338"/>
        <v>106.97395710066898</v>
      </c>
      <c r="J353" s="82">
        <f t="shared" si="339"/>
        <v>4.0999999999999999E-4</v>
      </c>
      <c r="K353" s="81"/>
      <c r="L353" s="81">
        <f t="shared" si="340"/>
        <v>3130945.0858732383</v>
      </c>
      <c r="M353" s="83">
        <f t="shared" si="335"/>
        <v>37327.3050930385</v>
      </c>
      <c r="N353" s="84"/>
      <c r="O353" s="72">
        <v>276</v>
      </c>
      <c r="P353" s="47" t="str">
        <f>IF(S352&gt;0.005,"December","")</f>
        <v/>
      </c>
      <c r="Q353" s="80">
        <f t="shared" si="349"/>
        <v>0</v>
      </c>
      <c r="R353" s="80">
        <f t="shared" si="341"/>
        <v>0</v>
      </c>
      <c r="S353" s="80">
        <f t="shared" si="342"/>
        <v>0</v>
      </c>
      <c r="T353" s="47"/>
      <c r="U353" s="84"/>
      <c r="V353" s="72">
        <v>276</v>
      </c>
      <c r="W353" s="47" t="e">
        <f>IF(Z352&gt;0.005,"December","")</f>
        <v>#NAME?</v>
      </c>
      <c r="X353" s="80" t="e">
        <f t="shared" si="343"/>
        <v>#NAME?</v>
      </c>
      <c r="Y353" s="80"/>
      <c r="Z353" s="80" t="e">
        <f t="shared" si="344"/>
        <v>#NAME?</v>
      </c>
      <c r="AA353" s="47"/>
      <c r="AB353" s="84"/>
      <c r="AC353" s="83"/>
      <c r="AD353" s="47" t="str">
        <f>IF(AG352&gt;0.005,"December","")</f>
        <v/>
      </c>
      <c r="AE353" s="80">
        <f t="shared" si="345"/>
        <v>0</v>
      </c>
      <c r="AF353" s="80">
        <f t="shared" si="346"/>
        <v>0</v>
      </c>
      <c r="AG353" s="80">
        <f t="shared" si="347"/>
        <v>0</v>
      </c>
      <c r="AH353" s="47"/>
    </row>
    <row r="354" spans="2:34" x14ac:dyDescent="0.25">
      <c r="B354" s="46"/>
      <c r="C354" s="85" t="str">
        <f>"Total "&amp;YEAR($C$9)+22</f>
        <v>Total 2041</v>
      </c>
      <c r="D354" s="86">
        <f>SUM(D342:D353)</f>
        <v>79055.8</v>
      </c>
      <c r="E354" s="86">
        <f>SUM(E342:E353)</f>
        <v>216661.60311472244</v>
      </c>
      <c r="F354" s="87"/>
      <c r="G354" s="47"/>
      <c r="I354" s="86">
        <f>SUM(I342:I353)</f>
        <v>1283.6874852080275</v>
      </c>
      <c r="J354" s="46"/>
      <c r="K354" s="86">
        <f>SUM(K342:K353)</f>
        <v>0</v>
      </c>
      <c r="L354" s="46"/>
      <c r="M354" s="46"/>
      <c r="O354" s="46"/>
      <c r="P354" s="85" t="str">
        <f>"Total "&amp;YEAR($C$9)+22</f>
        <v>Total 2041</v>
      </c>
      <c r="Q354" s="86">
        <f>SUM(Q342:Q353)</f>
        <v>0</v>
      </c>
      <c r="R354" s="86">
        <f>SUM(R342:R353)</f>
        <v>0</v>
      </c>
      <c r="S354" s="87"/>
      <c r="T354" s="47"/>
      <c r="V354" s="46"/>
      <c r="W354" s="85" t="str">
        <f>"Total "&amp;YEAR($C$9)+22</f>
        <v>Total 2041</v>
      </c>
      <c r="X354" s="86" t="e">
        <f>SUM(X342:X353)</f>
        <v>#NAME?</v>
      </c>
      <c r="Y354" s="86">
        <f>SUM(Y342:Y353)</f>
        <v>0</v>
      </c>
      <c r="Z354" s="87"/>
      <c r="AA354" s="47"/>
      <c r="AC354" s="46"/>
      <c r="AD354" s="85" t="str">
        <f>"Total "&amp;YEAR($C$9)+22</f>
        <v>Total 2041</v>
      </c>
      <c r="AE354" s="86">
        <f>SUM(AE342:AE353)</f>
        <v>0</v>
      </c>
      <c r="AF354" s="86">
        <f>SUM(AF342:AF353)</f>
        <v>0</v>
      </c>
      <c r="AG354" s="87"/>
      <c r="AH354" s="47"/>
    </row>
    <row r="355" spans="2:34" x14ac:dyDescent="0.25">
      <c r="B355" s="46"/>
      <c r="C355" s="50"/>
      <c r="D355" s="88"/>
      <c r="E355" s="88"/>
      <c r="F355" s="80"/>
      <c r="G355" s="47"/>
      <c r="I355" s="46"/>
      <c r="J355" s="46"/>
      <c r="K355" s="46"/>
      <c r="L355" s="46"/>
      <c r="M355" s="46"/>
      <c r="O355" s="46"/>
      <c r="P355" s="50"/>
      <c r="Q355" s="88"/>
      <c r="R355" s="88"/>
      <c r="S355" s="80"/>
      <c r="T355" s="47"/>
      <c r="V355" s="46"/>
      <c r="W355" s="50"/>
      <c r="X355" s="88"/>
      <c r="Y355" s="88"/>
      <c r="Z355" s="80"/>
      <c r="AA355" s="47"/>
      <c r="AC355" s="46"/>
      <c r="AD355" s="50"/>
      <c r="AE355" s="88"/>
      <c r="AF355" s="88"/>
      <c r="AG355" s="80"/>
      <c r="AH355" s="47"/>
    </row>
    <row r="356" spans="2:34" x14ac:dyDescent="0.25">
      <c r="B356" s="46"/>
      <c r="C356" s="47"/>
      <c r="D356" s="75" t="s">
        <v>62</v>
      </c>
      <c r="E356" s="75" t="s">
        <v>63</v>
      </c>
      <c r="F356" s="75" t="s">
        <v>64</v>
      </c>
      <c r="G356" s="47"/>
      <c r="I356" s="46"/>
      <c r="J356" s="46"/>
      <c r="K356" s="46"/>
      <c r="L356" s="46"/>
      <c r="M356" s="46"/>
      <c r="O356" s="46"/>
      <c r="P356" s="47"/>
      <c r="Q356" s="75" t="s">
        <v>62</v>
      </c>
      <c r="R356" s="75" t="s">
        <v>63</v>
      </c>
      <c r="S356" s="75" t="s">
        <v>64</v>
      </c>
      <c r="T356" s="47"/>
      <c r="V356" s="46"/>
      <c r="W356" s="47"/>
      <c r="X356" s="75" t="s">
        <v>62</v>
      </c>
      <c r="Y356" s="75" t="s">
        <v>63</v>
      </c>
      <c r="Z356" s="75" t="s">
        <v>64</v>
      </c>
      <c r="AA356" s="47"/>
      <c r="AC356" s="46"/>
      <c r="AD356" s="47"/>
      <c r="AE356" s="75" t="s">
        <v>62</v>
      </c>
      <c r="AF356" s="75" t="s">
        <v>63</v>
      </c>
      <c r="AG356" s="75" t="s">
        <v>64</v>
      </c>
      <c r="AH356" s="47"/>
    </row>
    <row r="357" spans="2:34" x14ac:dyDescent="0.25">
      <c r="B357" s="72">
        <v>277</v>
      </c>
      <c r="C357" s="47" t="str">
        <f>IF(F353&gt;0.005,"January","")</f>
        <v>January</v>
      </c>
      <c r="D357" s="80">
        <f>IF(F353&gt;0,ROUND(F353*($F$6/12),2),0)</f>
        <v>6184.5</v>
      </c>
      <c r="E357" s="80">
        <f>IF(F353&lt;$D$8,F353,$D$8-D357)</f>
        <v>18458.61692622687</v>
      </c>
      <c r="F357" s="80">
        <f>IF(F353-E357&gt;0,F353-E357,0)</f>
        <v>1791639.548361388</v>
      </c>
      <c r="G357" s="47"/>
      <c r="I357" s="81">
        <f>L353*J357/12</f>
        <v>106.97395710066898</v>
      </c>
      <c r="J357" s="82">
        <f>$F$6/100</f>
        <v>4.0999999999999999E-4</v>
      </c>
      <c r="K357" s="81"/>
      <c r="L357" s="81">
        <f>MAX(L353+L353*($F$6/100)/12-I357-K357,0)</f>
        <v>3130945.0858732383</v>
      </c>
      <c r="M357" s="83">
        <f t="shared" ref="M357:M368" si="350">-PMT(($F$6/100)/12,$D$7-B357,L357,0,0)</f>
        <v>37776.386626179934</v>
      </c>
      <c r="N357" s="84"/>
      <c r="O357" s="72">
        <v>277</v>
      </c>
      <c r="P357" s="47" t="str">
        <f>IF(S353&gt;0.005,"January","")</f>
        <v/>
      </c>
      <c r="Q357" s="80">
        <f>IF(O357&lt;$S$7,"",IF(O357=$S$7,$Q$6*($S$6/12),S353*($S$6/12)))</f>
        <v>0</v>
      </c>
      <c r="R357" s="80">
        <f>IF(O357&lt;$S$7,"",$Q$8-Q357)</f>
        <v>0</v>
      </c>
      <c r="S357" s="80">
        <f>IF(O357&lt;$S$7,"",IF(O357=$S$7,$Q$6-R357,S353-R357))</f>
        <v>0</v>
      </c>
      <c r="T357" s="47"/>
      <c r="U357" s="84"/>
      <c r="V357" s="72">
        <v>277</v>
      </c>
      <c r="W357" s="47" t="e">
        <f>IF(Z353&gt;0.005,"January","")</f>
        <v>#NAME?</v>
      </c>
      <c r="X357" s="80" t="e">
        <f>IF(V357&lt;$Z$7,"",($Z$6/12)*$X$6)</f>
        <v>#NAME?</v>
      </c>
      <c r="Y357" s="80"/>
      <c r="Z357" s="80" t="e">
        <f>IF(V357&lt;$S$7,"",$X$6)</f>
        <v>#NAME?</v>
      </c>
      <c r="AA357" s="47"/>
      <c r="AB357" s="84"/>
      <c r="AC357" s="83"/>
      <c r="AD357" s="47" t="str">
        <f>IF(AG353&gt;0.005,"January","")</f>
        <v/>
      </c>
      <c r="AE357" s="80">
        <f>IF(AG353&gt;0,ROUND(AG353*($AG$6/1200),2),0)</f>
        <v>0</v>
      </c>
      <c r="AF357" s="80">
        <f>IF(AG353&lt;$AE$8,AG353,$AE$8-AE357)</f>
        <v>0</v>
      </c>
      <c r="AG357" s="80">
        <f>IF(AG353-AF357&gt;0,AG353-AF357,0)</f>
        <v>0</v>
      </c>
      <c r="AH357" s="47"/>
    </row>
    <row r="358" spans="2:34" x14ac:dyDescent="0.25">
      <c r="B358" s="72">
        <v>278</v>
      </c>
      <c r="C358" s="47" t="str">
        <f>IF(F357&gt;0.005,"February","")</f>
        <v>February</v>
      </c>
      <c r="D358" s="80">
        <f>IF(F357&gt;0,ROUND(F357*($F$6/12),2),0)</f>
        <v>6121.44</v>
      </c>
      <c r="E358" s="80">
        <f t="shared" ref="E358:E368" si="351">IF(F357&lt;$D$8,F357,$D$8-D358)</f>
        <v>18521.676926226872</v>
      </c>
      <c r="F358" s="80">
        <f t="shared" ref="F358:F368" si="352">IF(F357-E358&gt;0,F357-E358,0)</f>
        <v>1773117.8714351612</v>
      </c>
      <c r="G358" s="47"/>
      <c r="I358" s="81">
        <f t="shared" ref="I358:I368" si="353">L357*J358/12</f>
        <v>106.97395710066898</v>
      </c>
      <c r="J358" s="82">
        <f t="shared" ref="J358:J368" si="354">$F$6/100</f>
        <v>4.0999999999999999E-4</v>
      </c>
      <c r="K358" s="81"/>
      <c r="L358" s="81">
        <f t="shared" ref="L358:L368" si="355">MAX(L357+L357*($F$6/100)/12-I358-K358,0)</f>
        <v>3130945.0858732383</v>
      </c>
      <c r="M358" s="83">
        <f t="shared" si="350"/>
        <v>38236.42137487539</v>
      </c>
      <c r="N358" s="84"/>
      <c r="O358" s="72">
        <v>278</v>
      </c>
      <c r="P358" s="47" t="str">
        <f>IF(S357&gt;0.005,"February","")</f>
        <v/>
      </c>
      <c r="Q358" s="80">
        <f>IF(O358&lt;$S$7,"",IF(O358=$S$7,$Q$6*($S$6/12),S357*($S$6/12)))</f>
        <v>0</v>
      </c>
      <c r="R358" s="80">
        <f t="shared" ref="R358:R368" si="356">IF(O358&lt;$S$7,"",$Q$8-Q358)</f>
        <v>0</v>
      </c>
      <c r="S358" s="80">
        <f t="shared" ref="S358:S368" si="357">IF(O358&lt;$S$7,"",IF(O358=$S$7,$Q$6-R358,S357-R358))</f>
        <v>0</v>
      </c>
      <c r="T358" s="47"/>
      <c r="U358" s="84"/>
      <c r="V358" s="72">
        <v>278</v>
      </c>
      <c r="W358" s="47" t="e">
        <f>IF(Z357&gt;0.005,"February","")</f>
        <v>#NAME?</v>
      </c>
      <c r="X358" s="80" t="e">
        <f t="shared" ref="X358:X368" si="358">IF(V358&lt;$Z$7,"",($Z$6/12)*$X$6)</f>
        <v>#NAME?</v>
      </c>
      <c r="Y358" s="80"/>
      <c r="Z358" s="80" t="e">
        <f t="shared" ref="Z358:Z368" si="359">IF(V358&lt;$S$7,"",$X$6)</f>
        <v>#NAME?</v>
      </c>
      <c r="AA358" s="47"/>
      <c r="AB358" s="84"/>
      <c r="AC358" s="83"/>
      <c r="AD358" s="47" t="str">
        <f>IF(AG357&gt;0.005,"February","")</f>
        <v/>
      </c>
      <c r="AE358" s="80">
        <f t="shared" ref="AE358:AE368" si="360">IF(AG357&gt;0,ROUND(AG357*($AG$6/1200),2),0)</f>
        <v>0</v>
      </c>
      <c r="AF358" s="80">
        <f t="shared" ref="AF358:AF368" si="361">IF(AG357&lt;$AE$8,AG357,$AE$8-AE358)</f>
        <v>0</v>
      </c>
      <c r="AG358" s="80">
        <f t="shared" ref="AG358:AG368" si="362">IF(AG357-AF358&gt;0,AG357-AF358,0)</f>
        <v>0</v>
      </c>
      <c r="AH358" s="47"/>
    </row>
    <row r="359" spans="2:34" x14ac:dyDescent="0.25">
      <c r="B359" s="72">
        <v>279</v>
      </c>
      <c r="C359" s="47" t="str">
        <f>IF(F358&gt;0.005,"March","")</f>
        <v>March</v>
      </c>
      <c r="D359" s="80">
        <f t="shared" ref="D359:D367" si="363">IF(F358&gt;0,ROUND(F358*($F$6/12),2),0)</f>
        <v>6058.15</v>
      </c>
      <c r="E359" s="80">
        <f t="shared" si="351"/>
        <v>18584.966926226873</v>
      </c>
      <c r="F359" s="80">
        <f t="shared" si="352"/>
        <v>1754532.9045089344</v>
      </c>
      <c r="G359" s="47"/>
      <c r="I359" s="81">
        <f t="shared" si="353"/>
        <v>106.97395710066898</v>
      </c>
      <c r="J359" s="82">
        <f t="shared" si="354"/>
        <v>4.0999999999999999E-4</v>
      </c>
      <c r="K359" s="81"/>
      <c r="L359" s="81">
        <f t="shared" si="355"/>
        <v>3130945.0858732383</v>
      </c>
      <c r="M359" s="83">
        <f t="shared" si="350"/>
        <v>38707.815013775013</v>
      </c>
      <c r="N359" s="84"/>
      <c r="O359" s="72">
        <v>279</v>
      </c>
      <c r="P359" s="47" t="str">
        <f>IF(S358&gt;0.005,"March","")</f>
        <v/>
      </c>
      <c r="Q359" s="80">
        <f t="shared" ref="Q359:Q368" si="364">IF(O359&lt;$S$7,"",IF(O359=$S$7,$Q$6*($S$6/12),S358*($S$6/12)))</f>
        <v>0</v>
      </c>
      <c r="R359" s="80">
        <f t="shared" si="356"/>
        <v>0</v>
      </c>
      <c r="S359" s="80">
        <f t="shared" si="357"/>
        <v>0</v>
      </c>
      <c r="T359" s="47"/>
      <c r="U359" s="84"/>
      <c r="V359" s="72">
        <v>279</v>
      </c>
      <c r="W359" s="47" t="e">
        <f>IF(Z358&gt;0.005,"March","")</f>
        <v>#NAME?</v>
      </c>
      <c r="X359" s="80" t="e">
        <f t="shared" si="358"/>
        <v>#NAME?</v>
      </c>
      <c r="Y359" s="80"/>
      <c r="Z359" s="80" t="e">
        <f t="shared" si="359"/>
        <v>#NAME?</v>
      </c>
      <c r="AA359" s="47"/>
      <c r="AB359" s="84"/>
      <c r="AC359" s="83"/>
      <c r="AD359" s="47" t="str">
        <f>IF(AG358&gt;0.005,"March","")</f>
        <v/>
      </c>
      <c r="AE359" s="80">
        <f t="shared" si="360"/>
        <v>0</v>
      </c>
      <c r="AF359" s="80">
        <f t="shared" si="361"/>
        <v>0</v>
      </c>
      <c r="AG359" s="80">
        <f t="shared" si="362"/>
        <v>0</v>
      </c>
      <c r="AH359" s="47"/>
    </row>
    <row r="360" spans="2:34" x14ac:dyDescent="0.25">
      <c r="B360" s="72">
        <v>280</v>
      </c>
      <c r="C360" s="47" t="str">
        <f>IF(F359&gt;0.005,"April","")</f>
        <v>April</v>
      </c>
      <c r="D360" s="80">
        <f t="shared" si="363"/>
        <v>5994.65</v>
      </c>
      <c r="E360" s="80">
        <f t="shared" si="351"/>
        <v>18648.466926226873</v>
      </c>
      <c r="F360" s="80">
        <f t="shared" si="352"/>
        <v>1735884.4375827075</v>
      </c>
      <c r="G360" s="47"/>
      <c r="I360" s="81">
        <f t="shared" si="353"/>
        <v>106.97395710066898</v>
      </c>
      <c r="J360" s="82">
        <f t="shared" si="354"/>
        <v>4.0999999999999999E-4</v>
      </c>
      <c r="K360" s="81"/>
      <c r="L360" s="81">
        <f t="shared" si="355"/>
        <v>3130945.0858732383</v>
      </c>
      <c r="M360" s="83">
        <f t="shared" si="350"/>
        <v>39190.993501261466</v>
      </c>
      <c r="N360" s="84"/>
      <c r="O360" s="72">
        <v>280</v>
      </c>
      <c r="P360" s="47" t="str">
        <f>IF(S359&gt;0.005,"April","")</f>
        <v/>
      </c>
      <c r="Q360" s="80">
        <f t="shared" si="364"/>
        <v>0</v>
      </c>
      <c r="R360" s="80">
        <f t="shared" si="356"/>
        <v>0</v>
      </c>
      <c r="S360" s="80">
        <f t="shared" si="357"/>
        <v>0</v>
      </c>
      <c r="T360" s="47"/>
      <c r="U360" s="84"/>
      <c r="V360" s="72">
        <v>280</v>
      </c>
      <c r="W360" s="47" t="e">
        <f>IF(Z359&gt;0.005,"April","")</f>
        <v>#NAME?</v>
      </c>
      <c r="X360" s="80" t="e">
        <f t="shared" si="358"/>
        <v>#NAME?</v>
      </c>
      <c r="Y360" s="80"/>
      <c r="Z360" s="80" t="e">
        <f t="shared" si="359"/>
        <v>#NAME?</v>
      </c>
      <c r="AA360" s="47"/>
      <c r="AB360" s="84"/>
      <c r="AC360" s="83"/>
      <c r="AD360" s="47" t="str">
        <f>IF(AG359&gt;0.005,"April","")</f>
        <v/>
      </c>
      <c r="AE360" s="80">
        <f t="shared" si="360"/>
        <v>0</v>
      </c>
      <c r="AF360" s="80">
        <f t="shared" si="361"/>
        <v>0</v>
      </c>
      <c r="AG360" s="80">
        <f t="shared" si="362"/>
        <v>0</v>
      </c>
      <c r="AH360" s="47"/>
    </row>
    <row r="361" spans="2:34" x14ac:dyDescent="0.25">
      <c r="B361" s="72">
        <v>281</v>
      </c>
      <c r="C361" s="47" t="str">
        <f>IF(F360&gt;0.005,"May","")</f>
        <v>May</v>
      </c>
      <c r="D361" s="80">
        <f t="shared" si="363"/>
        <v>5930.94</v>
      </c>
      <c r="E361" s="80">
        <f t="shared" si="351"/>
        <v>18712.176926226872</v>
      </c>
      <c r="F361" s="80">
        <f t="shared" si="352"/>
        <v>1717172.2606564807</v>
      </c>
      <c r="G361" s="47"/>
      <c r="I361" s="81">
        <f t="shared" si="353"/>
        <v>106.97395710066898</v>
      </c>
      <c r="J361" s="82">
        <f t="shared" si="354"/>
        <v>4.0999999999999999E-4</v>
      </c>
      <c r="K361" s="81"/>
      <c r="L361" s="81">
        <f t="shared" si="355"/>
        <v>3130945.0858732383</v>
      </c>
      <c r="M361" s="83">
        <f t="shared" si="350"/>
        <v>39686.404363230431</v>
      </c>
      <c r="N361" s="84"/>
      <c r="O361" s="72">
        <v>281</v>
      </c>
      <c r="P361" s="47" t="str">
        <f>IF(S360&gt;0.005,"May","")</f>
        <v/>
      </c>
      <c r="Q361" s="80">
        <f t="shared" si="364"/>
        <v>0</v>
      </c>
      <c r="R361" s="80">
        <f t="shared" si="356"/>
        <v>0</v>
      </c>
      <c r="S361" s="80">
        <f t="shared" si="357"/>
        <v>0</v>
      </c>
      <c r="T361" s="47"/>
      <c r="U361" s="84"/>
      <c r="V361" s="72">
        <v>281</v>
      </c>
      <c r="W361" s="47" t="e">
        <f>IF(Z360&gt;0.005,"May","")</f>
        <v>#NAME?</v>
      </c>
      <c r="X361" s="80" t="e">
        <f t="shared" si="358"/>
        <v>#NAME?</v>
      </c>
      <c r="Y361" s="80"/>
      <c r="Z361" s="80" t="e">
        <f t="shared" si="359"/>
        <v>#NAME?</v>
      </c>
      <c r="AA361" s="47"/>
      <c r="AB361" s="84"/>
      <c r="AC361" s="83"/>
      <c r="AD361" s="47" t="str">
        <f>IF(AG360&gt;0.005,"May","")</f>
        <v/>
      </c>
      <c r="AE361" s="80">
        <f t="shared" si="360"/>
        <v>0</v>
      </c>
      <c r="AF361" s="80">
        <f t="shared" si="361"/>
        <v>0</v>
      </c>
      <c r="AG361" s="80">
        <f t="shared" si="362"/>
        <v>0</v>
      </c>
      <c r="AH361" s="47"/>
    </row>
    <row r="362" spans="2:34" x14ac:dyDescent="0.25">
      <c r="B362" s="72">
        <v>282</v>
      </c>
      <c r="C362" s="47" t="str">
        <f>IF(F361&gt;0.005,"June","")</f>
        <v>June</v>
      </c>
      <c r="D362" s="80">
        <f t="shared" si="363"/>
        <v>5867.01</v>
      </c>
      <c r="E362" s="80">
        <f t="shared" si="351"/>
        <v>18776.106926226872</v>
      </c>
      <c r="F362" s="80">
        <f t="shared" si="352"/>
        <v>1698396.1537302537</v>
      </c>
      <c r="G362" s="47"/>
      <c r="I362" s="81">
        <f t="shared" si="353"/>
        <v>106.97395710066898</v>
      </c>
      <c r="J362" s="82">
        <f t="shared" si="354"/>
        <v>4.0999999999999999E-4</v>
      </c>
      <c r="K362" s="81"/>
      <c r="L362" s="81">
        <f t="shared" si="355"/>
        <v>3130945.0858732383</v>
      </c>
      <c r="M362" s="83">
        <f t="shared" si="350"/>
        <v>40194.518075623564</v>
      </c>
      <c r="N362" s="84"/>
      <c r="O362" s="72">
        <v>282</v>
      </c>
      <c r="P362" s="47" t="str">
        <f>IF(S361&gt;0.005,"June","")</f>
        <v/>
      </c>
      <c r="Q362" s="80">
        <f t="shared" si="364"/>
        <v>0</v>
      </c>
      <c r="R362" s="80">
        <f t="shared" si="356"/>
        <v>0</v>
      </c>
      <c r="S362" s="80">
        <f t="shared" si="357"/>
        <v>0</v>
      </c>
      <c r="T362" s="47"/>
      <c r="U362" s="84"/>
      <c r="V362" s="72">
        <v>282</v>
      </c>
      <c r="W362" s="47" t="e">
        <f>IF(Z361&gt;0.005,"June","")</f>
        <v>#NAME?</v>
      </c>
      <c r="X362" s="80" t="e">
        <f t="shared" si="358"/>
        <v>#NAME?</v>
      </c>
      <c r="Y362" s="80"/>
      <c r="Z362" s="80" t="e">
        <f t="shared" si="359"/>
        <v>#NAME?</v>
      </c>
      <c r="AA362" s="47"/>
      <c r="AB362" s="84"/>
      <c r="AC362" s="83"/>
      <c r="AD362" s="47" t="str">
        <f>IF(AG361&gt;0.005,"June","")</f>
        <v/>
      </c>
      <c r="AE362" s="80">
        <f t="shared" si="360"/>
        <v>0</v>
      </c>
      <c r="AF362" s="80">
        <f t="shared" si="361"/>
        <v>0</v>
      </c>
      <c r="AG362" s="80">
        <f t="shared" si="362"/>
        <v>0</v>
      </c>
      <c r="AH362" s="47"/>
    </row>
    <row r="363" spans="2:34" x14ac:dyDescent="0.25">
      <c r="B363" s="72">
        <v>283</v>
      </c>
      <c r="C363" s="47" t="str">
        <f>IF(F362&gt;0.005,"July","")</f>
        <v>July</v>
      </c>
      <c r="D363" s="80">
        <f t="shared" si="363"/>
        <v>5802.85</v>
      </c>
      <c r="E363" s="80">
        <f t="shared" si="351"/>
        <v>18840.266926226868</v>
      </c>
      <c r="F363" s="80">
        <f t="shared" si="352"/>
        <v>1679555.8868040268</v>
      </c>
      <c r="G363" s="47"/>
      <c r="I363" s="81">
        <f t="shared" si="353"/>
        <v>106.97395710066898</v>
      </c>
      <c r="J363" s="82">
        <f t="shared" si="354"/>
        <v>4.0999999999999999E-4</v>
      </c>
      <c r="K363" s="81"/>
      <c r="L363" s="81">
        <f t="shared" si="355"/>
        <v>3130945.0858732383</v>
      </c>
      <c r="M363" s="83">
        <f t="shared" si="350"/>
        <v>40715.829554691139</v>
      </c>
      <c r="N363" s="84"/>
      <c r="O363" s="72">
        <v>283</v>
      </c>
      <c r="P363" s="47" t="str">
        <f>IF(S362&gt;0.005,"July","")</f>
        <v/>
      </c>
      <c r="Q363" s="80">
        <f t="shared" si="364"/>
        <v>0</v>
      </c>
      <c r="R363" s="80">
        <f t="shared" si="356"/>
        <v>0</v>
      </c>
      <c r="S363" s="80">
        <f t="shared" si="357"/>
        <v>0</v>
      </c>
      <c r="T363" s="47"/>
      <c r="U363" s="84"/>
      <c r="V363" s="72">
        <v>283</v>
      </c>
      <c r="W363" s="47" t="e">
        <f>IF(Z362&gt;0.005,"July","")</f>
        <v>#NAME?</v>
      </c>
      <c r="X363" s="80" t="e">
        <f t="shared" si="358"/>
        <v>#NAME?</v>
      </c>
      <c r="Y363" s="80"/>
      <c r="Z363" s="80" t="e">
        <f t="shared" si="359"/>
        <v>#NAME?</v>
      </c>
      <c r="AA363" s="47"/>
      <c r="AB363" s="84"/>
      <c r="AC363" s="83"/>
      <c r="AD363" s="47" t="str">
        <f>IF(AG362&gt;0.005,"July","")</f>
        <v/>
      </c>
      <c r="AE363" s="80">
        <f t="shared" si="360"/>
        <v>0</v>
      </c>
      <c r="AF363" s="80">
        <f t="shared" si="361"/>
        <v>0</v>
      </c>
      <c r="AG363" s="80">
        <f t="shared" si="362"/>
        <v>0</v>
      </c>
      <c r="AH363" s="47"/>
    </row>
    <row r="364" spans="2:34" x14ac:dyDescent="0.25">
      <c r="B364" s="72">
        <v>284</v>
      </c>
      <c r="C364" s="47" t="str">
        <f>IF(F363&gt;0.005,"August","")</f>
        <v>August</v>
      </c>
      <c r="D364" s="80">
        <f t="shared" si="363"/>
        <v>5738.48</v>
      </c>
      <c r="E364" s="80">
        <f t="shared" si="351"/>
        <v>18904.636926226871</v>
      </c>
      <c r="F364" s="80">
        <f t="shared" si="352"/>
        <v>1660651.2498778</v>
      </c>
      <c r="G364" s="47"/>
      <c r="I364" s="81">
        <f t="shared" si="353"/>
        <v>106.97395710066898</v>
      </c>
      <c r="J364" s="82">
        <f t="shared" si="354"/>
        <v>4.0999999999999999E-4</v>
      </c>
      <c r="K364" s="81"/>
      <c r="L364" s="81">
        <f t="shared" si="355"/>
        <v>3130945.0858732383</v>
      </c>
      <c r="M364" s="83">
        <f t="shared" si="350"/>
        <v>41250.85976490716</v>
      </c>
      <c r="N364" s="84"/>
      <c r="O364" s="72">
        <v>284</v>
      </c>
      <c r="P364" s="47" t="str">
        <f>IF(S363&gt;0.005,"August","")</f>
        <v/>
      </c>
      <c r="Q364" s="80">
        <f t="shared" si="364"/>
        <v>0</v>
      </c>
      <c r="R364" s="80">
        <f t="shared" si="356"/>
        <v>0</v>
      </c>
      <c r="S364" s="80">
        <f t="shared" si="357"/>
        <v>0</v>
      </c>
      <c r="T364" s="47"/>
      <c r="U364" s="84"/>
      <c r="V364" s="72">
        <v>284</v>
      </c>
      <c r="W364" s="47" t="e">
        <f>IF(Z363&gt;0.005,"August","")</f>
        <v>#NAME?</v>
      </c>
      <c r="X364" s="80" t="e">
        <f t="shared" si="358"/>
        <v>#NAME?</v>
      </c>
      <c r="Y364" s="80"/>
      <c r="Z364" s="80" t="e">
        <f t="shared" si="359"/>
        <v>#NAME?</v>
      </c>
      <c r="AA364" s="47"/>
      <c r="AB364" s="84"/>
      <c r="AC364" s="83"/>
      <c r="AD364" s="47" t="str">
        <f>IF(AG363&gt;0.005,"August","")</f>
        <v/>
      </c>
      <c r="AE364" s="80">
        <f t="shared" si="360"/>
        <v>0</v>
      </c>
      <c r="AF364" s="80">
        <f t="shared" si="361"/>
        <v>0</v>
      </c>
      <c r="AG364" s="80">
        <f t="shared" si="362"/>
        <v>0</v>
      </c>
      <c r="AH364" s="47"/>
    </row>
    <row r="365" spans="2:34" x14ac:dyDescent="0.25">
      <c r="B365" s="72">
        <v>285</v>
      </c>
      <c r="C365" s="47" t="str">
        <f>IF(F364&gt;0.005,"September","")</f>
        <v>September</v>
      </c>
      <c r="D365" s="80">
        <f t="shared" si="363"/>
        <v>5673.89</v>
      </c>
      <c r="E365" s="80">
        <f t="shared" si="351"/>
        <v>18969.226926226871</v>
      </c>
      <c r="F365" s="80">
        <f t="shared" si="352"/>
        <v>1641682.0229515731</v>
      </c>
      <c r="G365" s="47"/>
      <c r="I365" s="81">
        <f t="shared" si="353"/>
        <v>106.97395710066898</v>
      </c>
      <c r="J365" s="82">
        <f t="shared" si="354"/>
        <v>4.0999999999999999E-4</v>
      </c>
      <c r="K365" s="81"/>
      <c r="L365" s="81">
        <f t="shared" si="355"/>
        <v>3130945.0858732383</v>
      </c>
      <c r="M365" s="83">
        <f t="shared" si="350"/>
        <v>41800.157455517554</v>
      </c>
      <c r="N365" s="84"/>
      <c r="O365" s="72">
        <v>285</v>
      </c>
      <c r="P365" s="47" t="str">
        <f>IF(S364&gt;0.005,"September","")</f>
        <v/>
      </c>
      <c r="Q365" s="80">
        <f t="shared" si="364"/>
        <v>0</v>
      </c>
      <c r="R365" s="80">
        <f t="shared" si="356"/>
        <v>0</v>
      </c>
      <c r="S365" s="80">
        <f t="shared" si="357"/>
        <v>0</v>
      </c>
      <c r="T365" s="47"/>
      <c r="U365" s="84"/>
      <c r="V365" s="72">
        <v>285</v>
      </c>
      <c r="W365" s="47" t="e">
        <f>IF(Z364&gt;0.005,"September","")</f>
        <v>#NAME?</v>
      </c>
      <c r="X365" s="80" t="e">
        <f t="shared" si="358"/>
        <v>#NAME?</v>
      </c>
      <c r="Y365" s="80"/>
      <c r="Z365" s="80" t="e">
        <f t="shared" si="359"/>
        <v>#NAME?</v>
      </c>
      <c r="AA365" s="47"/>
      <c r="AB365" s="84"/>
      <c r="AC365" s="83"/>
      <c r="AD365" s="47" t="str">
        <f>IF(AG364&gt;0.005,"September","")</f>
        <v/>
      </c>
      <c r="AE365" s="80">
        <f t="shared" si="360"/>
        <v>0</v>
      </c>
      <c r="AF365" s="80">
        <f t="shared" si="361"/>
        <v>0</v>
      </c>
      <c r="AG365" s="80">
        <f t="shared" si="362"/>
        <v>0</v>
      </c>
      <c r="AH365" s="47"/>
    </row>
    <row r="366" spans="2:34" x14ac:dyDescent="0.25">
      <c r="B366" s="72">
        <v>286</v>
      </c>
      <c r="C366" s="47" t="str">
        <f>IF(F365&gt;0.005,"October","")</f>
        <v>October</v>
      </c>
      <c r="D366" s="80">
        <f t="shared" si="363"/>
        <v>5609.08</v>
      </c>
      <c r="E366" s="80">
        <f t="shared" si="351"/>
        <v>19034.036926226872</v>
      </c>
      <c r="F366" s="80">
        <f t="shared" si="352"/>
        <v>1622647.9860253462</v>
      </c>
      <c r="G366" s="47"/>
      <c r="I366" s="81">
        <f t="shared" si="353"/>
        <v>106.97395710066898</v>
      </c>
      <c r="J366" s="82">
        <f t="shared" si="354"/>
        <v>4.0999999999999999E-4</v>
      </c>
      <c r="K366" s="81"/>
      <c r="L366" s="81">
        <f t="shared" si="355"/>
        <v>3130945.0858732383</v>
      </c>
      <c r="M366" s="83">
        <f t="shared" si="350"/>
        <v>42364.301037889672</v>
      </c>
      <c r="N366" s="84"/>
      <c r="O366" s="72">
        <v>286</v>
      </c>
      <c r="P366" s="47" t="str">
        <f>IF(S365&gt;0.005,"October","")</f>
        <v/>
      </c>
      <c r="Q366" s="80">
        <f t="shared" si="364"/>
        <v>0</v>
      </c>
      <c r="R366" s="80">
        <f t="shared" si="356"/>
        <v>0</v>
      </c>
      <c r="S366" s="80">
        <f t="shared" si="357"/>
        <v>0</v>
      </c>
      <c r="T366" s="47"/>
      <c r="U366" s="84"/>
      <c r="V366" s="72">
        <v>286</v>
      </c>
      <c r="W366" s="47" t="e">
        <f>IF(Z365&gt;0.005,"October","")</f>
        <v>#NAME?</v>
      </c>
      <c r="X366" s="80" t="e">
        <f t="shared" si="358"/>
        <v>#NAME?</v>
      </c>
      <c r="Y366" s="80"/>
      <c r="Z366" s="80" t="e">
        <f t="shared" si="359"/>
        <v>#NAME?</v>
      </c>
      <c r="AA366" s="47"/>
      <c r="AB366" s="84"/>
      <c r="AC366" s="83"/>
      <c r="AD366" s="47" t="str">
        <f>IF(AG365&gt;0.005,"October","")</f>
        <v/>
      </c>
      <c r="AE366" s="80">
        <f t="shared" si="360"/>
        <v>0</v>
      </c>
      <c r="AF366" s="80">
        <f t="shared" si="361"/>
        <v>0</v>
      </c>
      <c r="AG366" s="80">
        <f t="shared" si="362"/>
        <v>0</v>
      </c>
      <c r="AH366" s="47"/>
    </row>
    <row r="367" spans="2:34" x14ac:dyDescent="0.25">
      <c r="B367" s="72">
        <v>287</v>
      </c>
      <c r="C367" s="47" t="str">
        <f>IF(F366&gt;0.005,"November","")</f>
        <v>November</v>
      </c>
      <c r="D367" s="80">
        <f t="shared" si="363"/>
        <v>5544.05</v>
      </c>
      <c r="E367" s="80">
        <f t="shared" si="351"/>
        <v>19099.066926226871</v>
      </c>
      <c r="F367" s="80">
        <f t="shared" si="352"/>
        <v>1603548.9190991193</v>
      </c>
      <c r="G367" s="47"/>
      <c r="I367" s="81">
        <f t="shared" si="353"/>
        <v>106.97395710066898</v>
      </c>
      <c r="J367" s="82">
        <f t="shared" si="354"/>
        <v>4.0999999999999999E-4</v>
      </c>
      <c r="K367" s="81"/>
      <c r="L367" s="81">
        <f t="shared" si="355"/>
        <v>3130945.0858732383</v>
      </c>
      <c r="M367" s="83">
        <f t="shared" si="350"/>
        <v>42943.9006171644</v>
      </c>
      <c r="N367" s="84"/>
      <c r="O367" s="72">
        <v>287</v>
      </c>
      <c r="P367" s="47" t="str">
        <f>IF(S366&gt;0.005,"November","")</f>
        <v/>
      </c>
      <c r="Q367" s="80">
        <f t="shared" si="364"/>
        <v>0</v>
      </c>
      <c r="R367" s="80">
        <f t="shared" si="356"/>
        <v>0</v>
      </c>
      <c r="S367" s="80">
        <f t="shared" si="357"/>
        <v>0</v>
      </c>
      <c r="T367" s="47"/>
      <c r="U367" s="84"/>
      <c r="V367" s="72">
        <v>287</v>
      </c>
      <c r="W367" s="47" t="e">
        <f>IF(Z366&gt;0.005,"November","")</f>
        <v>#NAME?</v>
      </c>
      <c r="X367" s="80" t="e">
        <f t="shared" si="358"/>
        <v>#NAME?</v>
      </c>
      <c r="Y367" s="80"/>
      <c r="Z367" s="80" t="e">
        <f t="shared" si="359"/>
        <v>#NAME?</v>
      </c>
      <c r="AA367" s="47"/>
      <c r="AB367" s="84"/>
      <c r="AC367" s="83"/>
      <c r="AD367" s="47" t="str">
        <f>IF(AG366&gt;0.005,"November","")</f>
        <v/>
      </c>
      <c r="AE367" s="80">
        <f t="shared" si="360"/>
        <v>0</v>
      </c>
      <c r="AF367" s="80">
        <f t="shared" si="361"/>
        <v>0</v>
      </c>
      <c r="AG367" s="80">
        <f t="shared" si="362"/>
        <v>0</v>
      </c>
      <c r="AH367" s="47"/>
    </row>
    <row r="368" spans="2:34" x14ac:dyDescent="0.25">
      <c r="B368" s="72">
        <v>288</v>
      </c>
      <c r="C368" s="47" t="str">
        <f>IF(F367&gt;0.005,"December","")</f>
        <v>December</v>
      </c>
      <c r="D368" s="80">
        <f>IF(F367&gt;0,ROUND(F367*($F$6/12),2),0)</f>
        <v>5478.79</v>
      </c>
      <c r="E368" s="80">
        <f t="shared" si="351"/>
        <v>19164.32692622687</v>
      </c>
      <c r="F368" s="80">
        <f t="shared" si="352"/>
        <v>1584384.5921728923</v>
      </c>
      <c r="G368" s="47"/>
      <c r="I368" s="81">
        <f t="shared" si="353"/>
        <v>106.97395710066898</v>
      </c>
      <c r="J368" s="82">
        <f t="shared" si="354"/>
        <v>4.0999999999999999E-4</v>
      </c>
      <c r="K368" s="81"/>
      <c r="L368" s="81">
        <f t="shared" si="355"/>
        <v>3130945.0858732383</v>
      </c>
      <c r="M368" s="83">
        <f t="shared" si="350"/>
        <v>43539.600193212689</v>
      </c>
      <c r="N368" s="84"/>
      <c r="O368" s="72">
        <v>288</v>
      </c>
      <c r="P368" s="47" t="str">
        <f>IF(S367&gt;0.005,"December","")</f>
        <v/>
      </c>
      <c r="Q368" s="80">
        <f t="shared" si="364"/>
        <v>0</v>
      </c>
      <c r="R368" s="80">
        <f t="shared" si="356"/>
        <v>0</v>
      </c>
      <c r="S368" s="80">
        <f t="shared" si="357"/>
        <v>0</v>
      </c>
      <c r="T368" s="47"/>
      <c r="U368" s="84"/>
      <c r="V368" s="72">
        <v>288</v>
      </c>
      <c r="W368" s="47" t="e">
        <f>IF(Z367&gt;0.005,"December","")</f>
        <v>#NAME?</v>
      </c>
      <c r="X368" s="80" t="e">
        <f t="shared" si="358"/>
        <v>#NAME?</v>
      </c>
      <c r="Y368" s="80"/>
      <c r="Z368" s="80" t="e">
        <f t="shared" si="359"/>
        <v>#NAME?</v>
      </c>
      <c r="AA368" s="47"/>
      <c r="AB368" s="84"/>
      <c r="AC368" s="83"/>
      <c r="AD368" s="47" t="str">
        <f>IF(AG367&gt;0.005,"December","")</f>
        <v/>
      </c>
      <c r="AE368" s="80">
        <f t="shared" si="360"/>
        <v>0</v>
      </c>
      <c r="AF368" s="80">
        <f t="shared" si="361"/>
        <v>0</v>
      </c>
      <c r="AG368" s="80">
        <f t="shared" si="362"/>
        <v>0</v>
      </c>
      <c r="AH368" s="47"/>
    </row>
    <row r="369" spans="2:34" x14ac:dyDescent="0.25">
      <c r="B369" s="46"/>
      <c r="C369" s="85" t="str">
        <f>"Total "&amp;YEAR($C$9)+23</f>
        <v>Total 2042</v>
      </c>
      <c r="D369" s="86">
        <f>SUM(D357:D368)</f>
        <v>70003.829999999987</v>
      </c>
      <c r="E369" s="86">
        <f>SUM(E357:E368)</f>
        <v>225713.57311472244</v>
      </c>
      <c r="F369" s="87"/>
      <c r="G369" s="47"/>
      <c r="I369" s="86">
        <f>SUM(I357:I368)</f>
        <v>1283.6874852080275</v>
      </c>
      <c r="J369" s="46"/>
      <c r="K369" s="86">
        <f>SUM(K357:K368)</f>
        <v>0</v>
      </c>
      <c r="L369" s="46"/>
      <c r="M369" s="46"/>
      <c r="O369" s="46"/>
      <c r="P369" s="85" t="str">
        <f>"Total "&amp;YEAR($C$9)+23</f>
        <v>Total 2042</v>
      </c>
      <c r="Q369" s="86">
        <f>SUM(Q357:Q368)</f>
        <v>0</v>
      </c>
      <c r="R369" s="86">
        <f>SUM(R357:R368)</f>
        <v>0</v>
      </c>
      <c r="S369" s="87"/>
      <c r="T369" s="47"/>
      <c r="V369" s="46"/>
      <c r="W369" s="85" t="str">
        <f>"Total "&amp;YEAR($C$9)+23</f>
        <v>Total 2042</v>
      </c>
      <c r="X369" s="86" t="e">
        <f>SUM(X357:X368)</f>
        <v>#NAME?</v>
      </c>
      <c r="Y369" s="86">
        <f>SUM(Y357:Y368)</f>
        <v>0</v>
      </c>
      <c r="Z369" s="87"/>
      <c r="AA369" s="47"/>
      <c r="AC369" s="46"/>
      <c r="AD369" s="85" t="str">
        <f>"Total "&amp;YEAR($C$9)+23</f>
        <v>Total 2042</v>
      </c>
      <c r="AE369" s="86">
        <f>SUM(AE357:AE368)</f>
        <v>0</v>
      </c>
      <c r="AF369" s="86">
        <f>SUM(AF357:AF368)</f>
        <v>0</v>
      </c>
      <c r="AG369" s="87"/>
      <c r="AH369" s="47"/>
    </row>
    <row r="370" spans="2:34" x14ac:dyDescent="0.25">
      <c r="B370" s="46"/>
      <c r="C370" s="47"/>
      <c r="D370" s="80"/>
      <c r="E370" s="80"/>
      <c r="F370" s="80"/>
      <c r="G370" s="47"/>
      <c r="I370" s="46"/>
      <c r="J370" s="46"/>
      <c r="K370" s="46"/>
      <c r="L370" s="46"/>
      <c r="M370" s="46"/>
      <c r="O370" s="46"/>
      <c r="P370" s="47"/>
      <c r="Q370" s="80"/>
      <c r="R370" s="80"/>
      <c r="S370" s="80"/>
      <c r="T370" s="47"/>
      <c r="V370" s="46"/>
      <c r="W370" s="47"/>
      <c r="X370" s="80"/>
      <c r="Y370" s="80"/>
      <c r="Z370" s="80"/>
      <c r="AA370" s="47"/>
      <c r="AC370" s="46"/>
      <c r="AD370" s="47"/>
      <c r="AE370" s="80"/>
      <c r="AF370" s="80"/>
      <c r="AG370" s="80"/>
      <c r="AH370" s="47"/>
    </row>
    <row r="371" spans="2:34" x14ac:dyDescent="0.25">
      <c r="B371" s="46"/>
      <c r="C371" s="47"/>
      <c r="D371" s="75" t="s">
        <v>62</v>
      </c>
      <c r="E371" s="75" t="s">
        <v>63</v>
      </c>
      <c r="F371" s="75" t="s">
        <v>64</v>
      </c>
      <c r="G371" s="47"/>
      <c r="I371" s="46"/>
      <c r="J371" s="46"/>
      <c r="K371" s="46"/>
      <c r="L371" s="46"/>
      <c r="M371" s="46"/>
      <c r="O371" s="46"/>
      <c r="P371" s="47"/>
      <c r="Q371" s="75" t="s">
        <v>62</v>
      </c>
      <c r="R371" s="75" t="s">
        <v>63</v>
      </c>
      <c r="S371" s="75" t="s">
        <v>64</v>
      </c>
      <c r="T371" s="47"/>
      <c r="V371" s="46"/>
      <c r="W371" s="47"/>
      <c r="X371" s="75" t="s">
        <v>62</v>
      </c>
      <c r="Y371" s="75" t="s">
        <v>63</v>
      </c>
      <c r="Z371" s="75" t="s">
        <v>64</v>
      </c>
      <c r="AA371" s="47"/>
      <c r="AC371" s="46"/>
      <c r="AD371" s="47"/>
      <c r="AE371" s="75" t="s">
        <v>62</v>
      </c>
      <c r="AF371" s="75" t="s">
        <v>63</v>
      </c>
      <c r="AG371" s="75" t="s">
        <v>64</v>
      </c>
      <c r="AH371" s="47"/>
    </row>
    <row r="372" spans="2:34" x14ac:dyDescent="0.25">
      <c r="B372" s="72">
        <v>289</v>
      </c>
      <c r="C372" s="47" t="str">
        <f>IF(F368&gt;0.005,"January","")</f>
        <v>January</v>
      </c>
      <c r="D372" s="80">
        <f>IF(F368&gt;0,ROUND(F368*($F$6/12),2),0)</f>
        <v>5413.31</v>
      </c>
      <c r="E372" s="80">
        <f>IF(F368&lt;$D$8,F368,$D$8-D372)</f>
        <v>19229.806926226869</v>
      </c>
      <c r="F372" s="80">
        <f>IF(F368-E372&gt;0,F368-E372,0)</f>
        <v>1565154.7852466654</v>
      </c>
      <c r="G372" s="47"/>
      <c r="I372" s="81">
        <f>L368*J372/12</f>
        <v>106.97395710066898</v>
      </c>
      <c r="J372" s="82">
        <f>$F$6/100</f>
        <v>4.0999999999999999E-4</v>
      </c>
      <c r="K372" s="81"/>
      <c r="L372" s="81">
        <f>MAX(L368+L368*($F$6/100)/12-I372-K372,0)</f>
        <v>3130945.0858732383</v>
      </c>
      <c r="M372" s="83">
        <f t="shared" ref="M372:M383" si="365">-PMT(($F$6/100)/12,$D$7-B372,L372,0,0)</f>
        <v>44152.080047588337</v>
      </c>
      <c r="N372" s="84"/>
      <c r="O372" s="72">
        <v>289</v>
      </c>
      <c r="P372" s="47" t="str">
        <f>IF(S368&gt;0.005,"January","")</f>
        <v/>
      </c>
      <c r="Q372" s="80">
        <f>IF(O372&lt;$S$7,"",IF(O372=$S$7,$Q$6*($S$6/12),S368*($S$6/12)))</f>
        <v>0</v>
      </c>
      <c r="R372" s="80">
        <f>IF(O372&lt;$S$7,"",$Q$8-Q372)</f>
        <v>0</v>
      </c>
      <c r="S372" s="80">
        <f>IF(O372&lt;$S$7,"",IF(O372=$S$7,$Q$6-R372,S368-R372))</f>
        <v>0</v>
      </c>
      <c r="T372" s="47"/>
      <c r="U372" s="84"/>
      <c r="V372" s="72">
        <v>289</v>
      </c>
      <c r="W372" s="47" t="e">
        <f>IF(Z368&gt;0.005,"January","")</f>
        <v>#NAME?</v>
      </c>
      <c r="X372" s="80" t="e">
        <f>IF(V372&lt;$Z$7,"",($Z$6/12)*$X$6)</f>
        <v>#NAME?</v>
      </c>
      <c r="Y372" s="80"/>
      <c r="Z372" s="80" t="e">
        <f>IF(V372&lt;$S$7,"",$X$6)</f>
        <v>#NAME?</v>
      </c>
      <c r="AA372" s="47"/>
      <c r="AB372" s="84"/>
      <c r="AC372" s="83"/>
      <c r="AD372" s="47" t="str">
        <f>IF(AG368&gt;0.005,"January","")</f>
        <v/>
      </c>
      <c r="AE372" s="80">
        <f>IF(AG368&gt;0,ROUND(AG368*($AG$6/1200),2),0)</f>
        <v>0</v>
      </c>
      <c r="AF372" s="80">
        <f>IF(AG368&lt;$AE$8,AG368,$AE$8-AE372)</f>
        <v>0</v>
      </c>
      <c r="AG372" s="80">
        <f>IF(AG368-AF372&gt;0,AG368-AF372,0)</f>
        <v>0</v>
      </c>
      <c r="AH372" s="47"/>
    </row>
    <row r="373" spans="2:34" x14ac:dyDescent="0.25">
      <c r="B373" s="72">
        <v>290</v>
      </c>
      <c r="C373" s="47" t="str">
        <f>IF(F372&gt;0.005,"February","")</f>
        <v>February</v>
      </c>
      <c r="D373" s="80">
        <f>IF(F372&gt;0,ROUND(F372*($F$6/12),2),0)</f>
        <v>5347.61</v>
      </c>
      <c r="E373" s="80">
        <f t="shared" ref="E373:E383" si="366">IF(F372&lt;$D$8,F372,$D$8-D373)</f>
        <v>19295.50692622687</v>
      </c>
      <c r="F373" s="80">
        <f t="shared" ref="F373:F383" si="367">IF(F372-E373&gt;0,F372-E373,0)</f>
        <v>1545859.2783204385</v>
      </c>
      <c r="G373" s="47"/>
      <c r="I373" s="81">
        <f t="shared" ref="I373:I383" si="368">L372*J373/12</f>
        <v>106.97395710066898</v>
      </c>
      <c r="J373" s="82">
        <f t="shared" ref="J373:J383" si="369">$F$6/100</f>
        <v>4.0999999999999999E-4</v>
      </c>
      <c r="K373" s="81"/>
      <c r="L373" s="81">
        <f t="shared" ref="L373:L383" si="370">MAX(L372+L372*($F$6/100)/12-I373-K373,0)</f>
        <v>3130945.0858732383</v>
      </c>
      <c r="M373" s="83">
        <f t="shared" si="365"/>
        <v>44782.05933507681</v>
      </c>
      <c r="N373" s="84"/>
      <c r="O373" s="72">
        <v>290</v>
      </c>
      <c r="P373" s="47" t="str">
        <f>IF(S372&gt;0.005,"February","")</f>
        <v/>
      </c>
      <c r="Q373" s="80">
        <f>IF(O373&lt;$S$7,"",IF(O373=$S$7,$Q$6*($S$6/12),S372*($S$6/12)))</f>
        <v>0</v>
      </c>
      <c r="R373" s="80">
        <f t="shared" ref="R373:R383" si="371">IF(O373&lt;$S$7,"",$Q$8-Q373)</f>
        <v>0</v>
      </c>
      <c r="S373" s="80">
        <f t="shared" ref="S373:S383" si="372">IF(O373&lt;$S$7,"",IF(O373=$S$7,$Q$6-R373,S372-R373))</f>
        <v>0</v>
      </c>
      <c r="T373" s="47"/>
      <c r="U373" s="84"/>
      <c r="V373" s="72">
        <v>290</v>
      </c>
      <c r="W373" s="47" t="e">
        <f>IF(Z372&gt;0.005,"February","")</f>
        <v>#NAME?</v>
      </c>
      <c r="X373" s="80" t="e">
        <f t="shared" ref="X373:X383" si="373">IF(V373&lt;$Z$7,"",($Z$6/12)*$X$6)</f>
        <v>#NAME?</v>
      </c>
      <c r="Y373" s="80"/>
      <c r="Z373" s="80" t="e">
        <f t="shared" ref="Z373:Z383" si="374">IF(V373&lt;$S$7,"",$X$6)</f>
        <v>#NAME?</v>
      </c>
      <c r="AA373" s="47"/>
      <c r="AB373" s="84"/>
      <c r="AC373" s="83"/>
      <c r="AD373" s="47" t="str">
        <f>IF(AG372&gt;0.005,"February","")</f>
        <v/>
      </c>
      <c r="AE373" s="80">
        <f t="shared" ref="AE373:AE383" si="375">IF(AG372&gt;0,ROUND(AG372*($AG$6/1200),2),0)</f>
        <v>0</v>
      </c>
      <c r="AF373" s="80">
        <f t="shared" ref="AF373:AF383" si="376">IF(AG372&lt;$AE$8,AG372,$AE$8-AE373)</f>
        <v>0</v>
      </c>
      <c r="AG373" s="80">
        <f t="shared" ref="AG373:AG383" si="377">IF(AG372-AF373&gt;0,AG372-AF373,0)</f>
        <v>0</v>
      </c>
      <c r="AH373" s="47"/>
    </row>
    <row r="374" spans="2:34" x14ac:dyDescent="0.25">
      <c r="B374" s="72">
        <v>291</v>
      </c>
      <c r="C374" s="47" t="str">
        <f>IF(F373&gt;0.005,"March","")</f>
        <v>March</v>
      </c>
      <c r="D374" s="80">
        <f t="shared" ref="D374:D382" si="378">IF(F373&gt;0,ROUND(F373*($F$6/12),2),0)</f>
        <v>5281.69</v>
      </c>
      <c r="E374" s="80">
        <f t="shared" si="366"/>
        <v>19361.426926226872</v>
      </c>
      <c r="F374" s="80">
        <f t="shared" si="367"/>
        <v>1526497.8513942116</v>
      </c>
      <c r="G374" s="47"/>
      <c r="I374" s="81">
        <f t="shared" si="368"/>
        <v>106.97395710066898</v>
      </c>
      <c r="J374" s="82">
        <f t="shared" si="369"/>
        <v>4.0999999999999999E-4</v>
      </c>
      <c r="K374" s="81"/>
      <c r="L374" s="81">
        <f t="shared" si="370"/>
        <v>3130945.0858732383</v>
      </c>
      <c r="M374" s="83">
        <f t="shared" si="365"/>
        <v>45430.298900596063</v>
      </c>
      <c r="N374" s="84"/>
      <c r="O374" s="72">
        <v>291</v>
      </c>
      <c r="P374" s="47" t="str">
        <f>IF(S373&gt;0.005,"March","")</f>
        <v/>
      </c>
      <c r="Q374" s="80">
        <f t="shared" ref="Q374:Q383" si="379">IF(O374&lt;$S$7,"",IF(O374=$S$7,$Q$6*($S$6/12),S373*($S$6/12)))</f>
        <v>0</v>
      </c>
      <c r="R374" s="80">
        <f t="shared" si="371"/>
        <v>0</v>
      </c>
      <c r="S374" s="80">
        <f t="shared" si="372"/>
        <v>0</v>
      </c>
      <c r="T374" s="47"/>
      <c r="U374" s="84"/>
      <c r="V374" s="72">
        <v>291</v>
      </c>
      <c r="W374" s="47" t="e">
        <f>IF(Z373&gt;0.005,"March","")</f>
        <v>#NAME?</v>
      </c>
      <c r="X374" s="80" t="e">
        <f t="shared" si="373"/>
        <v>#NAME?</v>
      </c>
      <c r="Y374" s="80"/>
      <c r="Z374" s="80" t="e">
        <f t="shared" si="374"/>
        <v>#NAME?</v>
      </c>
      <c r="AA374" s="47"/>
      <c r="AB374" s="84"/>
      <c r="AC374" s="83"/>
      <c r="AD374" s="47" t="str">
        <f>IF(AG373&gt;0.005,"March","")</f>
        <v/>
      </c>
      <c r="AE374" s="80">
        <f t="shared" si="375"/>
        <v>0</v>
      </c>
      <c r="AF374" s="80">
        <f t="shared" si="376"/>
        <v>0</v>
      </c>
      <c r="AG374" s="80">
        <f t="shared" si="377"/>
        <v>0</v>
      </c>
      <c r="AH374" s="47"/>
    </row>
    <row r="375" spans="2:34" x14ac:dyDescent="0.25">
      <c r="B375" s="72">
        <v>292</v>
      </c>
      <c r="C375" s="47" t="str">
        <f>IF(F374&gt;0.005,"April","")</f>
        <v>April</v>
      </c>
      <c r="D375" s="80">
        <f t="shared" si="378"/>
        <v>5215.53</v>
      </c>
      <c r="E375" s="80">
        <f t="shared" si="366"/>
        <v>19427.586926226872</v>
      </c>
      <c r="F375" s="80">
        <f t="shared" si="367"/>
        <v>1507070.2644679847</v>
      </c>
      <c r="G375" s="47"/>
      <c r="I375" s="81">
        <f t="shared" si="368"/>
        <v>106.97395710066898</v>
      </c>
      <c r="J375" s="82">
        <f t="shared" si="369"/>
        <v>4.0999999999999999E-4</v>
      </c>
      <c r="K375" s="81"/>
      <c r="L375" s="81">
        <f t="shared" si="370"/>
        <v>3130945.0858732383</v>
      </c>
      <c r="M375" s="83">
        <f t="shared" si="365"/>
        <v>46097.604344647458</v>
      </c>
      <c r="N375" s="84"/>
      <c r="O375" s="72">
        <v>292</v>
      </c>
      <c r="P375" s="47" t="str">
        <f>IF(S374&gt;0.005,"April","")</f>
        <v/>
      </c>
      <c r="Q375" s="80">
        <f t="shared" si="379"/>
        <v>0</v>
      </c>
      <c r="R375" s="80">
        <f t="shared" si="371"/>
        <v>0</v>
      </c>
      <c r="S375" s="80">
        <f t="shared" si="372"/>
        <v>0</v>
      </c>
      <c r="T375" s="47"/>
      <c r="U375" s="84"/>
      <c r="V375" s="72">
        <v>292</v>
      </c>
      <c r="W375" s="47" t="e">
        <f>IF(Z374&gt;0.005,"April","")</f>
        <v>#NAME?</v>
      </c>
      <c r="X375" s="80" t="e">
        <f t="shared" si="373"/>
        <v>#NAME?</v>
      </c>
      <c r="Y375" s="80"/>
      <c r="Z375" s="80" t="e">
        <f t="shared" si="374"/>
        <v>#NAME?</v>
      </c>
      <c r="AA375" s="47"/>
      <c r="AB375" s="84"/>
      <c r="AC375" s="83"/>
      <c r="AD375" s="47" t="str">
        <f>IF(AG374&gt;0.005,"April","")</f>
        <v/>
      </c>
      <c r="AE375" s="80">
        <f t="shared" si="375"/>
        <v>0</v>
      </c>
      <c r="AF375" s="80">
        <f t="shared" si="376"/>
        <v>0</v>
      </c>
      <c r="AG375" s="80">
        <f t="shared" si="377"/>
        <v>0</v>
      </c>
      <c r="AH375" s="47"/>
    </row>
    <row r="376" spans="2:34" x14ac:dyDescent="0.25">
      <c r="B376" s="72">
        <v>293</v>
      </c>
      <c r="C376" s="47" t="str">
        <f>IF(F375&gt;0.005,"May","")</f>
        <v>May</v>
      </c>
      <c r="D376" s="80">
        <f t="shared" si="378"/>
        <v>5149.16</v>
      </c>
      <c r="E376" s="80">
        <f t="shared" si="366"/>
        <v>19493.956926226871</v>
      </c>
      <c r="F376" s="80">
        <f t="shared" si="367"/>
        <v>1487576.3075417578</v>
      </c>
      <c r="G376" s="47"/>
      <c r="I376" s="81">
        <f t="shared" si="368"/>
        <v>106.97395710066898</v>
      </c>
      <c r="J376" s="82">
        <f t="shared" si="369"/>
        <v>4.0999999999999999E-4</v>
      </c>
      <c r="K376" s="81"/>
      <c r="L376" s="81">
        <f t="shared" si="370"/>
        <v>3130945.0858732383</v>
      </c>
      <c r="M376" s="83">
        <f t="shared" si="365"/>
        <v>46784.82936328464</v>
      </c>
      <c r="N376" s="84"/>
      <c r="O376" s="72">
        <v>293</v>
      </c>
      <c r="P376" s="47" t="str">
        <f>IF(S375&gt;0.005,"May","")</f>
        <v/>
      </c>
      <c r="Q376" s="80">
        <f t="shared" si="379"/>
        <v>0</v>
      </c>
      <c r="R376" s="80">
        <f t="shared" si="371"/>
        <v>0</v>
      </c>
      <c r="S376" s="80">
        <f t="shared" si="372"/>
        <v>0</v>
      </c>
      <c r="T376" s="47"/>
      <c r="U376" s="84"/>
      <c r="V376" s="72">
        <v>293</v>
      </c>
      <c r="W376" s="47" t="e">
        <f>IF(Z375&gt;0.005,"May","")</f>
        <v>#NAME?</v>
      </c>
      <c r="X376" s="80" t="e">
        <f t="shared" si="373"/>
        <v>#NAME?</v>
      </c>
      <c r="Y376" s="80"/>
      <c r="Z376" s="80" t="e">
        <f t="shared" si="374"/>
        <v>#NAME?</v>
      </c>
      <c r="AA376" s="47"/>
      <c r="AB376" s="84"/>
      <c r="AC376" s="83"/>
      <c r="AD376" s="47" t="str">
        <f>IF(AG375&gt;0.005,"May","")</f>
        <v/>
      </c>
      <c r="AE376" s="80">
        <f t="shared" si="375"/>
        <v>0</v>
      </c>
      <c r="AF376" s="80">
        <f t="shared" si="376"/>
        <v>0</v>
      </c>
      <c r="AG376" s="80">
        <f t="shared" si="377"/>
        <v>0</v>
      </c>
      <c r="AH376" s="47"/>
    </row>
    <row r="377" spans="2:34" x14ac:dyDescent="0.25">
      <c r="B377" s="72">
        <v>294</v>
      </c>
      <c r="C377" s="47" t="str">
        <f>IF(F376&gt;0.005,"June","")</f>
        <v>June</v>
      </c>
      <c r="D377" s="80">
        <f t="shared" si="378"/>
        <v>5082.55</v>
      </c>
      <c r="E377" s="80">
        <f t="shared" si="366"/>
        <v>19560.566926226871</v>
      </c>
      <c r="F377" s="80">
        <f t="shared" si="367"/>
        <v>1468015.7406155309</v>
      </c>
      <c r="G377" s="47"/>
      <c r="I377" s="81">
        <f t="shared" si="368"/>
        <v>106.97395710066898</v>
      </c>
      <c r="J377" s="82">
        <f t="shared" si="369"/>
        <v>4.0999999999999999E-4</v>
      </c>
      <c r="K377" s="81"/>
      <c r="L377" s="81">
        <f t="shared" si="370"/>
        <v>3130945.0858732383</v>
      </c>
      <c r="M377" s="83">
        <f t="shared" si="365"/>
        <v>47492.879391716109</v>
      </c>
      <c r="N377" s="84"/>
      <c r="O377" s="72">
        <v>294</v>
      </c>
      <c r="P377" s="47" t="str">
        <f>IF(S376&gt;0.005,"June","")</f>
        <v/>
      </c>
      <c r="Q377" s="80">
        <f t="shared" si="379"/>
        <v>0</v>
      </c>
      <c r="R377" s="80">
        <f t="shared" si="371"/>
        <v>0</v>
      </c>
      <c r="S377" s="80">
        <f t="shared" si="372"/>
        <v>0</v>
      </c>
      <c r="T377" s="47"/>
      <c r="U377" s="84"/>
      <c r="V377" s="72">
        <v>294</v>
      </c>
      <c r="W377" s="47" t="e">
        <f>IF(Z376&gt;0.005,"June","")</f>
        <v>#NAME?</v>
      </c>
      <c r="X377" s="80" t="e">
        <f t="shared" si="373"/>
        <v>#NAME?</v>
      </c>
      <c r="Y377" s="80"/>
      <c r="Z377" s="80" t="e">
        <f t="shared" si="374"/>
        <v>#NAME?</v>
      </c>
      <c r="AA377" s="47"/>
      <c r="AB377" s="84"/>
      <c r="AC377" s="83"/>
      <c r="AD377" s="47" t="str">
        <f>IF(AG376&gt;0.005,"June","")</f>
        <v/>
      </c>
      <c r="AE377" s="80">
        <f t="shared" si="375"/>
        <v>0</v>
      </c>
      <c r="AF377" s="80">
        <f t="shared" si="376"/>
        <v>0</v>
      </c>
      <c r="AG377" s="80">
        <f t="shared" si="377"/>
        <v>0</v>
      </c>
      <c r="AH377" s="47"/>
    </row>
    <row r="378" spans="2:34" x14ac:dyDescent="0.25">
      <c r="B378" s="72">
        <v>295</v>
      </c>
      <c r="C378" s="47" t="str">
        <f>IF(F377&gt;0.005,"July","")</f>
        <v>July</v>
      </c>
      <c r="D378" s="80">
        <f t="shared" si="378"/>
        <v>5015.72</v>
      </c>
      <c r="E378" s="80">
        <f t="shared" si="366"/>
        <v>19627.396926226869</v>
      </c>
      <c r="F378" s="80">
        <f t="shared" si="367"/>
        <v>1448388.3436893041</v>
      </c>
      <c r="G378" s="47"/>
      <c r="I378" s="81">
        <f t="shared" si="368"/>
        <v>106.97395710066898</v>
      </c>
      <c r="J378" s="82">
        <f t="shared" si="369"/>
        <v>4.0999999999999999E-4</v>
      </c>
      <c r="K378" s="81"/>
      <c r="L378" s="81">
        <f t="shared" si="370"/>
        <v>3130945.0858732383</v>
      </c>
      <c r="M378" s="83">
        <f t="shared" si="365"/>
        <v>48222.715584240002</v>
      </c>
      <c r="N378" s="84"/>
      <c r="O378" s="72">
        <v>295</v>
      </c>
      <c r="P378" s="47" t="str">
        <f>IF(S377&gt;0.005,"July","")</f>
        <v/>
      </c>
      <c r="Q378" s="80">
        <f t="shared" si="379"/>
        <v>0</v>
      </c>
      <c r="R378" s="80">
        <f t="shared" si="371"/>
        <v>0</v>
      </c>
      <c r="S378" s="80">
        <f t="shared" si="372"/>
        <v>0</v>
      </c>
      <c r="T378" s="47"/>
      <c r="U378" s="84"/>
      <c r="V378" s="72">
        <v>295</v>
      </c>
      <c r="W378" s="47" t="e">
        <f>IF(Z377&gt;0.005,"July","")</f>
        <v>#NAME?</v>
      </c>
      <c r="X378" s="80" t="e">
        <f t="shared" si="373"/>
        <v>#NAME?</v>
      </c>
      <c r="Y378" s="80"/>
      <c r="Z378" s="80" t="e">
        <f t="shared" si="374"/>
        <v>#NAME?</v>
      </c>
      <c r="AA378" s="47"/>
      <c r="AB378" s="84"/>
      <c r="AC378" s="83"/>
      <c r="AD378" s="47" t="str">
        <f>IF(AG377&gt;0.005,"July","")</f>
        <v/>
      </c>
      <c r="AE378" s="80">
        <f t="shared" si="375"/>
        <v>0</v>
      </c>
      <c r="AF378" s="80">
        <f t="shared" si="376"/>
        <v>0</v>
      </c>
      <c r="AG378" s="80">
        <f t="shared" si="377"/>
        <v>0</v>
      </c>
      <c r="AH378" s="47"/>
    </row>
    <row r="379" spans="2:34" x14ac:dyDescent="0.25">
      <c r="B379" s="72">
        <v>296</v>
      </c>
      <c r="C379" s="47" t="str">
        <f>IF(F378&gt;0.005,"August","")</f>
        <v>August</v>
      </c>
      <c r="D379" s="80">
        <f t="shared" si="378"/>
        <v>4948.66</v>
      </c>
      <c r="E379" s="80">
        <f t="shared" si="366"/>
        <v>19694.456926226871</v>
      </c>
      <c r="F379" s="80">
        <f t="shared" si="367"/>
        <v>1428693.8867630772</v>
      </c>
      <c r="G379" s="47"/>
      <c r="I379" s="81">
        <f t="shared" si="368"/>
        <v>106.97395710066898</v>
      </c>
      <c r="J379" s="82">
        <f t="shared" si="369"/>
        <v>4.0999999999999999E-4</v>
      </c>
      <c r="K379" s="81"/>
      <c r="L379" s="81">
        <f t="shared" si="370"/>
        <v>3130945.0858732383</v>
      </c>
      <c r="M379" s="83">
        <f t="shared" si="365"/>
        <v>48975.3591672982</v>
      </c>
      <c r="N379" s="84"/>
      <c r="O379" s="72">
        <v>296</v>
      </c>
      <c r="P379" s="47" t="str">
        <f>IF(S378&gt;0.005,"August","")</f>
        <v/>
      </c>
      <c r="Q379" s="80">
        <f t="shared" si="379"/>
        <v>0</v>
      </c>
      <c r="R379" s="80">
        <f t="shared" si="371"/>
        <v>0</v>
      </c>
      <c r="S379" s="80">
        <f t="shared" si="372"/>
        <v>0</v>
      </c>
      <c r="T379" s="47"/>
      <c r="U379" s="84"/>
      <c r="V379" s="72">
        <v>296</v>
      </c>
      <c r="W379" s="47" t="e">
        <f>IF(Z378&gt;0.005,"August","")</f>
        <v>#NAME?</v>
      </c>
      <c r="X379" s="80" t="e">
        <f t="shared" si="373"/>
        <v>#NAME?</v>
      </c>
      <c r="Y379" s="80"/>
      <c r="Z379" s="80" t="e">
        <f t="shared" si="374"/>
        <v>#NAME?</v>
      </c>
      <c r="AA379" s="47"/>
      <c r="AB379" s="84"/>
      <c r="AC379" s="83"/>
      <c r="AD379" s="47" t="str">
        <f>IF(AG378&gt;0.005,"August","")</f>
        <v/>
      </c>
      <c r="AE379" s="80">
        <f t="shared" si="375"/>
        <v>0</v>
      </c>
      <c r="AF379" s="80">
        <f t="shared" si="376"/>
        <v>0</v>
      </c>
      <c r="AG379" s="80">
        <f t="shared" si="377"/>
        <v>0</v>
      </c>
      <c r="AH379" s="47"/>
    </row>
    <row r="380" spans="2:34" x14ac:dyDescent="0.25">
      <c r="B380" s="72">
        <v>297</v>
      </c>
      <c r="C380" s="47" t="str">
        <f>IF(F379&gt;0.005,"September","")</f>
        <v>September</v>
      </c>
      <c r="D380" s="80">
        <f t="shared" si="378"/>
        <v>4881.37</v>
      </c>
      <c r="E380" s="80">
        <f t="shared" si="366"/>
        <v>19761.746926226871</v>
      </c>
      <c r="F380" s="80">
        <f t="shared" si="367"/>
        <v>1408932.1398368503</v>
      </c>
      <c r="G380" s="47"/>
      <c r="I380" s="81">
        <f t="shared" si="368"/>
        <v>106.97395710066898</v>
      </c>
      <c r="J380" s="82">
        <f t="shared" si="369"/>
        <v>4.0999999999999999E-4</v>
      </c>
      <c r="K380" s="81"/>
      <c r="L380" s="81">
        <f t="shared" si="370"/>
        <v>3130945.0858732383</v>
      </c>
      <c r="M380" s="83">
        <f t="shared" si="365"/>
        <v>49751.896207106591</v>
      </c>
      <c r="N380" s="84"/>
      <c r="O380" s="72">
        <v>297</v>
      </c>
      <c r="P380" s="47" t="str">
        <f>IF(S379&gt;0.005,"September","")</f>
        <v/>
      </c>
      <c r="Q380" s="80">
        <f t="shared" si="379"/>
        <v>0</v>
      </c>
      <c r="R380" s="80">
        <f t="shared" si="371"/>
        <v>0</v>
      </c>
      <c r="S380" s="80">
        <f t="shared" si="372"/>
        <v>0</v>
      </c>
      <c r="T380" s="47"/>
      <c r="U380" s="84"/>
      <c r="V380" s="72">
        <v>297</v>
      </c>
      <c r="W380" s="47" t="e">
        <f>IF(Z379&gt;0.005,"September","")</f>
        <v>#NAME?</v>
      </c>
      <c r="X380" s="80" t="e">
        <f t="shared" si="373"/>
        <v>#NAME?</v>
      </c>
      <c r="Y380" s="80"/>
      <c r="Z380" s="80" t="e">
        <f t="shared" si="374"/>
        <v>#NAME?</v>
      </c>
      <c r="AA380" s="47"/>
      <c r="AB380" s="84"/>
      <c r="AC380" s="83"/>
      <c r="AD380" s="47" t="str">
        <f>IF(AG379&gt;0.005,"September","")</f>
        <v/>
      </c>
      <c r="AE380" s="80">
        <f t="shared" si="375"/>
        <v>0</v>
      </c>
      <c r="AF380" s="80">
        <f t="shared" si="376"/>
        <v>0</v>
      </c>
      <c r="AG380" s="80">
        <f t="shared" si="377"/>
        <v>0</v>
      </c>
      <c r="AH380" s="47"/>
    </row>
    <row r="381" spans="2:34" x14ac:dyDescent="0.25">
      <c r="B381" s="72">
        <v>298</v>
      </c>
      <c r="C381" s="47" t="str">
        <f>IF(F380&gt;0.005,"October","")</f>
        <v>October</v>
      </c>
      <c r="D381" s="80">
        <f t="shared" si="378"/>
        <v>4813.8500000000004</v>
      </c>
      <c r="E381" s="80">
        <f t="shared" si="366"/>
        <v>19829.266926226868</v>
      </c>
      <c r="F381" s="80">
        <f t="shared" si="367"/>
        <v>1389102.8729106234</v>
      </c>
      <c r="G381" s="47"/>
      <c r="I381" s="81">
        <f t="shared" si="368"/>
        <v>106.97395710066898</v>
      </c>
      <c r="J381" s="82">
        <f t="shared" si="369"/>
        <v>4.0999999999999999E-4</v>
      </c>
      <c r="K381" s="81"/>
      <c r="L381" s="81">
        <f t="shared" si="370"/>
        <v>3130945.0858732383</v>
      </c>
      <c r="M381" s="83">
        <f t="shared" si="365"/>
        <v>50553.482838669239</v>
      </c>
      <c r="N381" s="84"/>
      <c r="O381" s="72">
        <v>298</v>
      </c>
      <c r="P381" s="47" t="str">
        <f>IF(S380&gt;0.005,"October","")</f>
        <v/>
      </c>
      <c r="Q381" s="80">
        <f t="shared" si="379"/>
        <v>0</v>
      </c>
      <c r="R381" s="80">
        <f t="shared" si="371"/>
        <v>0</v>
      </c>
      <c r="S381" s="80">
        <f t="shared" si="372"/>
        <v>0</v>
      </c>
      <c r="T381" s="47"/>
      <c r="U381" s="84"/>
      <c r="V381" s="72">
        <v>298</v>
      </c>
      <c r="W381" s="47" t="e">
        <f>IF(Z380&gt;0.005,"October","")</f>
        <v>#NAME?</v>
      </c>
      <c r="X381" s="80" t="e">
        <f t="shared" si="373"/>
        <v>#NAME?</v>
      </c>
      <c r="Y381" s="80"/>
      <c r="Z381" s="80" t="e">
        <f t="shared" si="374"/>
        <v>#NAME?</v>
      </c>
      <c r="AA381" s="47"/>
      <c r="AB381" s="84"/>
      <c r="AC381" s="83"/>
      <c r="AD381" s="47" t="str">
        <f>IF(AG380&gt;0.005,"October","")</f>
        <v/>
      </c>
      <c r="AE381" s="80">
        <f t="shared" si="375"/>
        <v>0</v>
      </c>
      <c r="AF381" s="80">
        <f t="shared" si="376"/>
        <v>0</v>
      </c>
      <c r="AG381" s="80">
        <f t="shared" si="377"/>
        <v>0</v>
      </c>
      <c r="AH381" s="47"/>
    </row>
    <row r="382" spans="2:34" x14ac:dyDescent="0.25">
      <c r="B382" s="72">
        <v>299</v>
      </c>
      <c r="C382" s="47" t="str">
        <f>IF(F381&gt;0.005,"November","")</f>
        <v>November</v>
      </c>
      <c r="D382" s="80">
        <f t="shared" si="378"/>
        <v>4746.1000000000004</v>
      </c>
      <c r="E382" s="80">
        <f t="shared" si="366"/>
        <v>19897.016926226868</v>
      </c>
      <c r="F382" s="80">
        <f t="shared" si="367"/>
        <v>1369205.8559843965</v>
      </c>
      <c r="G382" s="47"/>
      <c r="I382" s="81">
        <f t="shared" si="368"/>
        <v>106.97395710066898</v>
      </c>
      <c r="J382" s="82">
        <f t="shared" si="369"/>
        <v>4.0999999999999999E-4</v>
      </c>
      <c r="K382" s="81"/>
      <c r="L382" s="81">
        <f t="shared" si="370"/>
        <v>3130945.0858732383</v>
      </c>
      <c r="M382" s="83">
        <f t="shared" si="365"/>
        <v>51381.351009121594</v>
      </c>
      <c r="N382" s="84"/>
      <c r="O382" s="72">
        <v>299</v>
      </c>
      <c r="P382" s="47" t="str">
        <f>IF(S381&gt;0.005,"November","")</f>
        <v/>
      </c>
      <c r="Q382" s="80">
        <f t="shared" si="379"/>
        <v>0</v>
      </c>
      <c r="R382" s="80">
        <f t="shared" si="371"/>
        <v>0</v>
      </c>
      <c r="S382" s="80">
        <f t="shared" si="372"/>
        <v>0</v>
      </c>
      <c r="T382" s="47"/>
      <c r="U382" s="84"/>
      <c r="V382" s="72">
        <v>299</v>
      </c>
      <c r="W382" s="47" t="e">
        <f>IF(Z381&gt;0.005,"November","")</f>
        <v>#NAME?</v>
      </c>
      <c r="X382" s="80" t="e">
        <f t="shared" si="373"/>
        <v>#NAME?</v>
      </c>
      <c r="Y382" s="80"/>
      <c r="Z382" s="80" t="e">
        <f t="shared" si="374"/>
        <v>#NAME?</v>
      </c>
      <c r="AA382" s="47"/>
      <c r="AB382" s="84"/>
      <c r="AC382" s="83"/>
      <c r="AD382" s="47" t="str">
        <f>IF(AG381&gt;0.005,"November","")</f>
        <v/>
      </c>
      <c r="AE382" s="80">
        <f t="shared" si="375"/>
        <v>0</v>
      </c>
      <c r="AF382" s="80">
        <f t="shared" si="376"/>
        <v>0</v>
      </c>
      <c r="AG382" s="80">
        <f t="shared" si="377"/>
        <v>0</v>
      </c>
      <c r="AH382" s="47"/>
    </row>
    <row r="383" spans="2:34" x14ac:dyDescent="0.25">
      <c r="B383" s="72">
        <v>300</v>
      </c>
      <c r="C383" s="47" t="str">
        <f>IF(F382&gt;0.005,"December","")</f>
        <v>December</v>
      </c>
      <c r="D383" s="80">
        <f>IF(F382&gt;0,ROUND(F382*($F$6/12),2),0)</f>
        <v>4678.12</v>
      </c>
      <c r="E383" s="80">
        <f t="shared" si="366"/>
        <v>19964.996926226871</v>
      </c>
      <c r="F383" s="80">
        <f t="shared" si="367"/>
        <v>1349240.8590581696</v>
      </c>
      <c r="G383" s="47"/>
      <c r="I383" s="81">
        <f t="shared" si="368"/>
        <v>106.97395710066898</v>
      </c>
      <c r="J383" s="82">
        <f t="shared" si="369"/>
        <v>4.0999999999999999E-4</v>
      </c>
      <c r="K383" s="81"/>
      <c r="L383" s="81">
        <f t="shared" si="370"/>
        <v>3130945.0858732383</v>
      </c>
      <c r="M383" s="83">
        <f t="shared" si="365"/>
        <v>52236.814795408121</v>
      </c>
      <c r="N383" s="84"/>
      <c r="O383" s="72">
        <v>300</v>
      </c>
      <c r="P383" s="47" t="str">
        <f>IF(S382&gt;0.005,"December","")</f>
        <v/>
      </c>
      <c r="Q383" s="80">
        <f t="shared" si="379"/>
        <v>0</v>
      </c>
      <c r="R383" s="80">
        <f t="shared" si="371"/>
        <v>0</v>
      </c>
      <c r="S383" s="80">
        <f t="shared" si="372"/>
        <v>0</v>
      </c>
      <c r="T383" s="47"/>
      <c r="U383" s="84"/>
      <c r="V383" s="72">
        <v>300</v>
      </c>
      <c r="W383" s="47" t="e">
        <f>IF(Z382&gt;0.005,"December","")</f>
        <v>#NAME?</v>
      </c>
      <c r="X383" s="80" t="e">
        <f t="shared" si="373"/>
        <v>#NAME?</v>
      </c>
      <c r="Y383" s="80"/>
      <c r="Z383" s="80" t="e">
        <f t="shared" si="374"/>
        <v>#NAME?</v>
      </c>
      <c r="AA383" s="47"/>
      <c r="AB383" s="84"/>
      <c r="AC383" s="83"/>
      <c r="AD383" s="47" t="str">
        <f>IF(AG382&gt;0.005,"December","")</f>
        <v/>
      </c>
      <c r="AE383" s="80">
        <f t="shared" si="375"/>
        <v>0</v>
      </c>
      <c r="AF383" s="80">
        <f t="shared" si="376"/>
        <v>0</v>
      </c>
      <c r="AG383" s="80">
        <f t="shared" si="377"/>
        <v>0</v>
      </c>
      <c r="AH383" s="47"/>
    </row>
    <row r="384" spans="2:34" x14ac:dyDescent="0.25">
      <c r="B384" s="46"/>
      <c r="C384" s="85" t="str">
        <f>"Total "&amp;YEAR($C$9)+24</f>
        <v>Total 2043</v>
      </c>
      <c r="D384" s="86">
        <f>SUM(D372:D383)</f>
        <v>60573.67</v>
      </c>
      <c r="E384" s="86">
        <f>SUM(E372:E383)</f>
        <v>235143.73311472248</v>
      </c>
      <c r="F384" s="87"/>
      <c r="G384" s="47"/>
      <c r="I384" s="86">
        <f>SUM(I372:I383)</f>
        <v>1283.6874852080275</v>
      </c>
      <c r="J384" s="46"/>
      <c r="K384" s="86">
        <f>SUM(K372:K383)</f>
        <v>0</v>
      </c>
      <c r="L384" s="46"/>
      <c r="M384" s="46"/>
      <c r="O384" s="46"/>
      <c r="P384" s="85" t="str">
        <f>"Total "&amp;YEAR($C$9)+24</f>
        <v>Total 2043</v>
      </c>
      <c r="Q384" s="86">
        <f>SUM(Q372:Q383)</f>
        <v>0</v>
      </c>
      <c r="R384" s="86">
        <f>SUM(R372:R383)</f>
        <v>0</v>
      </c>
      <c r="S384" s="87"/>
      <c r="T384" s="47"/>
      <c r="V384" s="46"/>
      <c r="W384" s="85" t="str">
        <f>"Total "&amp;YEAR($C$9)+24</f>
        <v>Total 2043</v>
      </c>
      <c r="X384" s="86" t="e">
        <f>SUM(X372:X383)</f>
        <v>#NAME?</v>
      </c>
      <c r="Y384" s="86">
        <f>SUM(Y372:Y383)</f>
        <v>0</v>
      </c>
      <c r="Z384" s="87"/>
      <c r="AA384" s="47"/>
      <c r="AC384" s="46"/>
      <c r="AD384" s="85" t="str">
        <f>"Total "&amp;YEAR($C$9)+24</f>
        <v>Total 2043</v>
      </c>
      <c r="AE384" s="86">
        <f>SUM(AE372:AE383)</f>
        <v>0</v>
      </c>
      <c r="AF384" s="86">
        <f>SUM(AF372:AF383)</f>
        <v>0</v>
      </c>
      <c r="AG384" s="87"/>
      <c r="AH384" s="47"/>
    </row>
    <row r="385" spans="2:34" x14ac:dyDescent="0.25">
      <c r="B385" s="46"/>
      <c r="C385" s="47"/>
      <c r="D385" s="80"/>
      <c r="E385" s="80"/>
      <c r="F385" s="80"/>
      <c r="G385" s="47"/>
      <c r="I385" s="46"/>
      <c r="J385" s="46"/>
      <c r="K385" s="46"/>
      <c r="L385" s="46"/>
      <c r="M385" s="46"/>
      <c r="O385" s="46"/>
      <c r="P385" s="47"/>
      <c r="Q385" s="80"/>
      <c r="R385" s="80"/>
      <c r="S385" s="80"/>
      <c r="T385" s="47"/>
      <c r="V385" s="46"/>
      <c r="W385" s="47"/>
      <c r="X385" s="80"/>
      <c r="Y385" s="80"/>
      <c r="Z385" s="80"/>
      <c r="AA385" s="47"/>
      <c r="AC385" s="46"/>
      <c r="AD385" s="47"/>
      <c r="AE385" s="80"/>
      <c r="AF385" s="80"/>
      <c r="AG385" s="80"/>
      <c r="AH385" s="47"/>
    </row>
    <row r="386" spans="2:34" x14ac:dyDescent="0.25">
      <c r="B386" s="46"/>
      <c r="C386" s="47"/>
      <c r="D386" s="75" t="s">
        <v>62</v>
      </c>
      <c r="E386" s="75" t="s">
        <v>63</v>
      </c>
      <c r="F386" s="75" t="s">
        <v>64</v>
      </c>
      <c r="G386" s="47"/>
      <c r="I386" s="46"/>
      <c r="J386" s="46"/>
      <c r="K386" s="46"/>
      <c r="L386" s="46"/>
      <c r="M386" s="46"/>
      <c r="O386" s="46"/>
      <c r="P386" s="47"/>
      <c r="Q386" s="75" t="s">
        <v>62</v>
      </c>
      <c r="R386" s="75" t="s">
        <v>63</v>
      </c>
      <c r="S386" s="75" t="s">
        <v>64</v>
      </c>
      <c r="T386" s="47"/>
      <c r="V386" s="46"/>
      <c r="W386" s="47"/>
      <c r="X386" s="75" t="s">
        <v>62</v>
      </c>
      <c r="Y386" s="75" t="s">
        <v>63</v>
      </c>
      <c r="Z386" s="75" t="s">
        <v>64</v>
      </c>
      <c r="AA386" s="47"/>
      <c r="AC386" s="46"/>
      <c r="AD386" s="47"/>
      <c r="AE386" s="75" t="s">
        <v>62</v>
      </c>
      <c r="AF386" s="75" t="s">
        <v>63</v>
      </c>
      <c r="AG386" s="75" t="s">
        <v>64</v>
      </c>
      <c r="AH386" s="47"/>
    </row>
    <row r="387" spans="2:34" x14ac:dyDescent="0.25">
      <c r="B387" s="72">
        <v>301</v>
      </c>
      <c r="C387" s="47" t="str">
        <f>IF(F383&gt;0.005,"January","")</f>
        <v>January</v>
      </c>
      <c r="D387" s="80">
        <f>IF(F383&gt;0,ROUND(F383*($F$6/12),2),0)</f>
        <v>4609.91</v>
      </c>
      <c r="E387" s="80">
        <f>IF(F383&lt;$D$8,F383,$D$8-D387)</f>
        <v>20033.206926226871</v>
      </c>
      <c r="F387" s="80">
        <f>IF(F383-E387&gt;0,F383-E387,0)</f>
        <v>1329207.6521319428</v>
      </c>
      <c r="G387" s="47"/>
      <c r="I387" s="81">
        <f>L383*J387/12</f>
        <v>106.97395710066898</v>
      </c>
      <c r="J387" s="82">
        <f>$F$6/100</f>
        <v>4.0999999999999999E-4</v>
      </c>
      <c r="K387" s="81"/>
      <c r="L387" s="81">
        <f>MAX(L383+L383*($F$6/100)/12-I387-K387,0)</f>
        <v>3130945.0858732383</v>
      </c>
      <c r="M387" s="83">
        <f t="shared" ref="M387:M398" si="380">-PMT(($F$6/100)/12,$D$7-B387,L387,0,0)</f>
        <v>53121.277364435664</v>
      </c>
      <c r="N387" s="84"/>
      <c r="O387" s="72">
        <v>301</v>
      </c>
      <c r="P387" s="47" t="str">
        <f>IF(S383&gt;0.005,"January","")</f>
        <v/>
      </c>
      <c r="Q387" s="80">
        <f>IF(O387&lt;$S$7,"",IF(O387=$S$7,$Q$6*($S$6/12),S383*($S$6/12)))</f>
        <v>0</v>
      </c>
      <c r="R387" s="80">
        <f>IF(O387&lt;$S$7,"",$Q$8-Q387)</f>
        <v>0</v>
      </c>
      <c r="S387" s="80">
        <f>IF(O387&lt;$S$7,"",IF(O387=$S$7,$Q$6-R387,S383-R387))</f>
        <v>0</v>
      </c>
      <c r="T387" s="47"/>
      <c r="U387" s="84"/>
      <c r="V387" s="72">
        <v>301</v>
      </c>
      <c r="W387" s="47" t="e">
        <f>IF(Z383&gt;0.005,"January","")</f>
        <v>#NAME?</v>
      </c>
      <c r="X387" s="80" t="e">
        <f>IF(V387&lt;$Z$7,"",($Z$6/12)*$X$6)</f>
        <v>#NAME?</v>
      </c>
      <c r="Y387" s="80"/>
      <c r="Z387" s="80" t="e">
        <f>IF(V387&lt;$S$7,"",$X$6)</f>
        <v>#NAME?</v>
      </c>
      <c r="AA387" s="47"/>
      <c r="AB387" s="84"/>
      <c r="AC387" s="83"/>
      <c r="AD387" s="47" t="str">
        <f>IF(AG383&gt;0.005,"January","")</f>
        <v/>
      </c>
      <c r="AE387" s="80">
        <f>IF(AG383&gt;0,ROUND(AG383*($AG$6/1200),2),0)</f>
        <v>0</v>
      </c>
      <c r="AF387" s="80">
        <f>IF(AG383&lt;$AE$8,AG383,$AE$8-AE387)</f>
        <v>0</v>
      </c>
      <c r="AG387" s="80">
        <f>IF(AG383-AF387&gt;0,AG383-AF387,0)</f>
        <v>0</v>
      </c>
      <c r="AH387" s="47"/>
    </row>
    <row r="388" spans="2:34" x14ac:dyDescent="0.25">
      <c r="B388" s="72">
        <v>302</v>
      </c>
      <c r="C388" s="47" t="str">
        <f>IF(F387&gt;0.005,"February","")</f>
        <v>February</v>
      </c>
      <c r="D388" s="80">
        <f>IF(F387&gt;0,ROUND(F387*($F$6/12),2),0)</f>
        <v>4541.46</v>
      </c>
      <c r="E388" s="80">
        <f t="shared" ref="E388:E398" si="381">IF(F387&lt;$D$8,F387,$D$8-D388)</f>
        <v>20101.656926226871</v>
      </c>
      <c r="F388" s="80">
        <f t="shared" ref="F388:F398" si="382">IF(F387-E388&gt;0,F387-E388,0)</f>
        <v>1309105.995205716</v>
      </c>
      <c r="G388" s="47"/>
      <c r="I388" s="81">
        <f t="shared" ref="I388:I398" si="383">L387*J388/12</f>
        <v>106.97395710066898</v>
      </c>
      <c r="J388" s="82">
        <f t="shared" ref="J388:J398" si="384">$F$6/100</f>
        <v>4.0999999999999999E-4</v>
      </c>
      <c r="K388" s="81"/>
      <c r="L388" s="81">
        <f t="shared" ref="L388:L398" si="385">MAX(L387+L387*($F$6/100)/12-I388-K388,0)</f>
        <v>3130945.0858732383</v>
      </c>
      <c r="M388" s="83">
        <f t="shared" si="380"/>
        <v>54036.238653242544</v>
      </c>
      <c r="N388" s="84"/>
      <c r="O388" s="72">
        <v>302</v>
      </c>
      <c r="P388" s="47" t="str">
        <f>IF(S387&gt;0.005,"February","")</f>
        <v/>
      </c>
      <c r="Q388" s="80">
        <f>IF(O388&lt;$S$7,"",IF(O388=$S$7,$Q$6*($S$6/12),S387*($S$6/12)))</f>
        <v>0</v>
      </c>
      <c r="R388" s="80">
        <f t="shared" ref="R388:R398" si="386">IF(O388&lt;$S$7,"",$Q$8-Q388)</f>
        <v>0</v>
      </c>
      <c r="S388" s="80">
        <f t="shared" ref="S388:S398" si="387">IF(O388&lt;$S$7,"",IF(O388=$S$7,$Q$6-R388,S387-R388))</f>
        <v>0</v>
      </c>
      <c r="T388" s="47"/>
      <c r="U388" s="84"/>
      <c r="V388" s="72">
        <v>302</v>
      </c>
      <c r="W388" s="47" t="e">
        <f>IF(Z387&gt;0.005,"February","")</f>
        <v>#NAME?</v>
      </c>
      <c r="X388" s="80" t="e">
        <f t="shared" ref="X388:X398" si="388">IF(V388&lt;$Z$7,"",($Z$6/12)*$X$6)</f>
        <v>#NAME?</v>
      </c>
      <c r="Y388" s="80"/>
      <c r="Z388" s="80" t="e">
        <f t="shared" ref="Z388:Z398" si="389">IF(V388&lt;$S$7,"",$X$6)</f>
        <v>#NAME?</v>
      </c>
      <c r="AA388" s="47"/>
      <c r="AB388" s="84"/>
      <c r="AC388" s="83"/>
      <c r="AD388" s="47" t="str">
        <f>IF(AG387&gt;0.005,"February","")</f>
        <v/>
      </c>
      <c r="AE388" s="80">
        <f t="shared" ref="AE388:AE398" si="390">IF(AG387&gt;0,ROUND(AG387*($AG$6/1200),2),0)</f>
        <v>0</v>
      </c>
      <c r="AF388" s="80">
        <f t="shared" ref="AF388:AF398" si="391">IF(AG387&lt;$AE$8,AG387,$AE$8-AE388)</f>
        <v>0</v>
      </c>
      <c r="AG388" s="80">
        <f t="shared" ref="AG388:AG398" si="392">IF(AG387-AF388&gt;0,AG387-AF388,0)</f>
        <v>0</v>
      </c>
      <c r="AH388" s="47"/>
    </row>
    <row r="389" spans="2:34" x14ac:dyDescent="0.25">
      <c r="B389" s="72">
        <v>303</v>
      </c>
      <c r="C389" s="47" t="str">
        <f>IF(F388&gt;0.005,"March","")</f>
        <v>March</v>
      </c>
      <c r="D389" s="80">
        <f t="shared" ref="D389:D397" si="393">IF(F388&gt;0,ROUND(F388*($F$6/12),2),0)</f>
        <v>4472.78</v>
      </c>
      <c r="E389" s="80">
        <f t="shared" si="381"/>
        <v>20170.336926226872</v>
      </c>
      <c r="F389" s="80">
        <f t="shared" si="382"/>
        <v>1288935.658279489</v>
      </c>
      <c r="G389" s="47"/>
      <c r="I389" s="81">
        <f t="shared" si="383"/>
        <v>106.97395710066898</v>
      </c>
      <c r="J389" s="82">
        <f t="shared" si="384"/>
        <v>4.0999999999999999E-4</v>
      </c>
      <c r="K389" s="81"/>
      <c r="L389" s="81">
        <f t="shared" si="385"/>
        <v>3130945.0858732383</v>
      </c>
      <c r="M389" s="83">
        <f t="shared" si="380"/>
        <v>54983.303857606639</v>
      </c>
      <c r="N389" s="84"/>
      <c r="O389" s="72">
        <v>303</v>
      </c>
      <c r="P389" s="47" t="str">
        <f>IF(S388&gt;0.005,"March","")</f>
        <v/>
      </c>
      <c r="Q389" s="80">
        <f t="shared" ref="Q389:Q398" si="394">IF(O389&lt;$S$7,"",IF(O389=$S$7,$Q$6*($S$6/12),S388*($S$6/12)))</f>
        <v>0</v>
      </c>
      <c r="R389" s="80">
        <f t="shared" si="386"/>
        <v>0</v>
      </c>
      <c r="S389" s="80">
        <f t="shared" si="387"/>
        <v>0</v>
      </c>
      <c r="T389" s="47"/>
      <c r="U389" s="84"/>
      <c r="V389" s="72">
        <v>303</v>
      </c>
      <c r="W389" s="47" t="e">
        <f>IF(Z388&gt;0.005,"March","")</f>
        <v>#NAME?</v>
      </c>
      <c r="X389" s="80" t="e">
        <f t="shared" si="388"/>
        <v>#NAME?</v>
      </c>
      <c r="Y389" s="80"/>
      <c r="Z389" s="80" t="e">
        <f t="shared" si="389"/>
        <v>#NAME?</v>
      </c>
      <c r="AA389" s="47"/>
      <c r="AB389" s="84"/>
      <c r="AC389" s="83"/>
      <c r="AD389" s="47" t="str">
        <f>IF(AG388&gt;0.005,"March","")</f>
        <v/>
      </c>
      <c r="AE389" s="80">
        <f t="shared" si="390"/>
        <v>0</v>
      </c>
      <c r="AF389" s="80">
        <f t="shared" si="391"/>
        <v>0</v>
      </c>
      <c r="AG389" s="80">
        <f t="shared" si="392"/>
        <v>0</v>
      </c>
      <c r="AH389" s="47"/>
    </row>
    <row r="390" spans="2:34" x14ac:dyDescent="0.25">
      <c r="B390" s="72">
        <v>304</v>
      </c>
      <c r="C390" s="47" t="str">
        <f>IF(F389&gt;0.005,"April","")</f>
        <v>April</v>
      </c>
      <c r="D390" s="80">
        <f t="shared" si="393"/>
        <v>4403.8599999999997</v>
      </c>
      <c r="E390" s="80">
        <f t="shared" si="381"/>
        <v>20239.25692622687</v>
      </c>
      <c r="F390" s="80">
        <f t="shared" si="382"/>
        <v>1268696.4013532621</v>
      </c>
      <c r="G390" s="47"/>
      <c r="I390" s="81">
        <f t="shared" si="383"/>
        <v>106.97395710066898</v>
      </c>
      <c r="J390" s="82">
        <f t="shared" si="384"/>
        <v>4.0999999999999999E-4</v>
      </c>
      <c r="K390" s="81"/>
      <c r="L390" s="81">
        <f t="shared" si="385"/>
        <v>3130945.0858732383</v>
      </c>
      <c r="M390" s="83">
        <f t="shared" si="380"/>
        <v>55964.192830147069</v>
      </c>
      <c r="N390" s="84"/>
      <c r="O390" s="72">
        <v>304</v>
      </c>
      <c r="P390" s="47" t="str">
        <f>IF(S389&gt;0.005,"April","")</f>
        <v/>
      </c>
      <c r="Q390" s="80">
        <f t="shared" si="394"/>
        <v>0</v>
      </c>
      <c r="R390" s="80">
        <f t="shared" si="386"/>
        <v>0</v>
      </c>
      <c r="S390" s="80">
        <f t="shared" si="387"/>
        <v>0</v>
      </c>
      <c r="T390" s="47"/>
      <c r="U390" s="84"/>
      <c r="V390" s="72">
        <v>304</v>
      </c>
      <c r="W390" s="47" t="e">
        <f>IF(Z389&gt;0.005,"April","")</f>
        <v>#NAME?</v>
      </c>
      <c r="X390" s="80" t="e">
        <f t="shared" si="388"/>
        <v>#NAME?</v>
      </c>
      <c r="Y390" s="80"/>
      <c r="Z390" s="80" t="e">
        <f t="shared" si="389"/>
        <v>#NAME?</v>
      </c>
      <c r="AA390" s="47"/>
      <c r="AB390" s="84"/>
      <c r="AC390" s="83"/>
      <c r="AD390" s="47" t="str">
        <f>IF(AG389&gt;0.005,"April","")</f>
        <v/>
      </c>
      <c r="AE390" s="80">
        <f t="shared" si="390"/>
        <v>0</v>
      </c>
      <c r="AF390" s="80">
        <f t="shared" si="391"/>
        <v>0</v>
      </c>
      <c r="AG390" s="80">
        <f t="shared" si="392"/>
        <v>0</v>
      </c>
      <c r="AH390" s="47"/>
    </row>
    <row r="391" spans="2:34" x14ac:dyDescent="0.25">
      <c r="B391" s="72">
        <v>305</v>
      </c>
      <c r="C391" s="47" t="str">
        <f>IF(F390&gt;0.005,"May","")</f>
        <v>May</v>
      </c>
      <c r="D391" s="80">
        <f t="shared" si="393"/>
        <v>4334.71</v>
      </c>
      <c r="E391" s="80">
        <f t="shared" si="381"/>
        <v>20308.406926226871</v>
      </c>
      <c r="F391" s="80">
        <f t="shared" si="382"/>
        <v>1248387.9944270353</v>
      </c>
      <c r="G391" s="47"/>
      <c r="I391" s="81">
        <f t="shared" si="383"/>
        <v>106.97395710066898</v>
      </c>
      <c r="J391" s="82">
        <f t="shared" si="384"/>
        <v>4.0999999999999999E-4</v>
      </c>
      <c r="K391" s="81"/>
      <c r="L391" s="81">
        <f t="shared" si="385"/>
        <v>3130945.0858732383</v>
      </c>
      <c r="M391" s="83">
        <f t="shared" si="380"/>
        <v>56980.750503673422</v>
      </c>
      <c r="N391" s="84"/>
      <c r="O391" s="72">
        <v>305</v>
      </c>
      <c r="P391" s="47" t="str">
        <f>IF(S390&gt;0.005,"May","")</f>
        <v/>
      </c>
      <c r="Q391" s="80">
        <f t="shared" si="394"/>
        <v>0</v>
      </c>
      <c r="R391" s="80">
        <f t="shared" si="386"/>
        <v>0</v>
      </c>
      <c r="S391" s="80">
        <f t="shared" si="387"/>
        <v>0</v>
      </c>
      <c r="T391" s="47"/>
      <c r="U391" s="84"/>
      <c r="V391" s="72">
        <v>305</v>
      </c>
      <c r="W391" s="47" t="e">
        <f>IF(Z390&gt;0.005,"May","")</f>
        <v>#NAME?</v>
      </c>
      <c r="X391" s="80" t="e">
        <f t="shared" si="388"/>
        <v>#NAME?</v>
      </c>
      <c r="Y391" s="80"/>
      <c r="Z391" s="80" t="e">
        <f t="shared" si="389"/>
        <v>#NAME?</v>
      </c>
      <c r="AA391" s="47"/>
      <c r="AB391" s="84"/>
      <c r="AC391" s="83"/>
      <c r="AD391" s="47" t="str">
        <f>IF(AG390&gt;0.005,"May","")</f>
        <v/>
      </c>
      <c r="AE391" s="80">
        <f t="shared" si="390"/>
        <v>0</v>
      </c>
      <c r="AF391" s="80">
        <f t="shared" si="391"/>
        <v>0</v>
      </c>
      <c r="AG391" s="80">
        <f t="shared" si="392"/>
        <v>0</v>
      </c>
      <c r="AH391" s="47"/>
    </row>
    <row r="392" spans="2:34" x14ac:dyDescent="0.25">
      <c r="B392" s="72">
        <v>306</v>
      </c>
      <c r="C392" s="47" t="str">
        <f>IF(F391&gt;0.005,"June","")</f>
        <v>June</v>
      </c>
      <c r="D392" s="80">
        <f t="shared" si="393"/>
        <v>4265.33</v>
      </c>
      <c r="E392" s="80">
        <f t="shared" si="381"/>
        <v>20377.786926226872</v>
      </c>
      <c r="F392" s="80">
        <f t="shared" si="382"/>
        <v>1228010.2075008084</v>
      </c>
      <c r="G392" s="47"/>
      <c r="I392" s="81">
        <f t="shared" si="383"/>
        <v>106.97395710066898</v>
      </c>
      <c r="J392" s="82">
        <f t="shared" si="384"/>
        <v>4.0999999999999999E-4</v>
      </c>
      <c r="K392" s="81"/>
      <c r="L392" s="81">
        <f t="shared" si="385"/>
        <v>3130945.0858732383</v>
      </c>
      <c r="M392" s="83">
        <f t="shared" si="380"/>
        <v>58034.958472684979</v>
      </c>
      <c r="N392" s="84"/>
      <c r="O392" s="72">
        <v>306</v>
      </c>
      <c r="P392" s="47" t="str">
        <f>IF(S391&gt;0.005,"June","")</f>
        <v/>
      </c>
      <c r="Q392" s="80">
        <f t="shared" si="394"/>
        <v>0</v>
      </c>
      <c r="R392" s="80">
        <f t="shared" si="386"/>
        <v>0</v>
      </c>
      <c r="S392" s="80">
        <f t="shared" si="387"/>
        <v>0</v>
      </c>
      <c r="T392" s="47"/>
      <c r="U392" s="84"/>
      <c r="V392" s="72">
        <v>306</v>
      </c>
      <c r="W392" s="47" t="e">
        <f>IF(Z391&gt;0.005,"June","")</f>
        <v>#NAME?</v>
      </c>
      <c r="X392" s="80" t="e">
        <f t="shared" si="388"/>
        <v>#NAME?</v>
      </c>
      <c r="Y392" s="80"/>
      <c r="Z392" s="80" t="e">
        <f t="shared" si="389"/>
        <v>#NAME?</v>
      </c>
      <c r="AA392" s="47"/>
      <c r="AB392" s="84"/>
      <c r="AC392" s="83"/>
      <c r="AD392" s="47" t="str">
        <f>IF(AG391&gt;0.005,"June","")</f>
        <v/>
      </c>
      <c r="AE392" s="80">
        <f t="shared" si="390"/>
        <v>0</v>
      </c>
      <c r="AF392" s="80">
        <f t="shared" si="391"/>
        <v>0</v>
      </c>
      <c r="AG392" s="80">
        <f t="shared" si="392"/>
        <v>0</v>
      </c>
      <c r="AH392" s="47"/>
    </row>
    <row r="393" spans="2:34" x14ac:dyDescent="0.25">
      <c r="B393" s="72">
        <v>307</v>
      </c>
      <c r="C393" s="47" t="str">
        <f>IF(F392&gt;0.005,"July","")</f>
        <v>July</v>
      </c>
      <c r="D393" s="80">
        <f t="shared" si="393"/>
        <v>4195.7</v>
      </c>
      <c r="E393" s="80">
        <f t="shared" si="381"/>
        <v>20447.41692622687</v>
      </c>
      <c r="F393" s="80">
        <f t="shared" si="382"/>
        <v>1207562.7905745816</v>
      </c>
      <c r="G393" s="47"/>
      <c r="I393" s="81">
        <f t="shared" si="383"/>
        <v>106.97395710066898</v>
      </c>
      <c r="J393" s="82">
        <f t="shared" si="384"/>
        <v>4.0999999999999999E-4</v>
      </c>
      <c r="K393" s="81"/>
      <c r="L393" s="81">
        <f t="shared" si="385"/>
        <v>3130945.0858732383</v>
      </c>
      <c r="M393" s="83">
        <f t="shared" si="380"/>
        <v>59128.947885982743</v>
      </c>
      <c r="N393" s="84"/>
      <c r="O393" s="72">
        <v>307</v>
      </c>
      <c r="P393" s="47" t="str">
        <f>IF(S392&gt;0.005,"July","")</f>
        <v/>
      </c>
      <c r="Q393" s="80">
        <f t="shared" si="394"/>
        <v>0</v>
      </c>
      <c r="R393" s="80">
        <f t="shared" si="386"/>
        <v>0</v>
      </c>
      <c r="S393" s="80">
        <f t="shared" si="387"/>
        <v>0</v>
      </c>
      <c r="T393" s="47"/>
      <c r="U393" s="84"/>
      <c r="V393" s="72">
        <v>307</v>
      </c>
      <c r="W393" s="47" t="e">
        <f>IF(Z392&gt;0.005,"July","")</f>
        <v>#NAME?</v>
      </c>
      <c r="X393" s="80" t="e">
        <f t="shared" si="388"/>
        <v>#NAME?</v>
      </c>
      <c r="Y393" s="80"/>
      <c r="Z393" s="80" t="e">
        <f t="shared" si="389"/>
        <v>#NAME?</v>
      </c>
      <c r="AA393" s="47"/>
      <c r="AB393" s="84"/>
      <c r="AC393" s="83"/>
      <c r="AD393" s="47" t="str">
        <f>IF(AG392&gt;0.005,"July","")</f>
        <v/>
      </c>
      <c r="AE393" s="80">
        <f t="shared" si="390"/>
        <v>0</v>
      </c>
      <c r="AF393" s="80">
        <f t="shared" si="391"/>
        <v>0</v>
      </c>
      <c r="AG393" s="80">
        <f t="shared" si="392"/>
        <v>0</v>
      </c>
      <c r="AH393" s="47"/>
    </row>
    <row r="394" spans="2:34" x14ac:dyDescent="0.25">
      <c r="B394" s="72">
        <v>308</v>
      </c>
      <c r="C394" s="47" t="str">
        <f>IF(F393&gt;0.005,"August","")</f>
        <v>August</v>
      </c>
      <c r="D394" s="80">
        <f t="shared" si="393"/>
        <v>4125.84</v>
      </c>
      <c r="E394" s="80">
        <f t="shared" si="381"/>
        <v>20517.27692622687</v>
      </c>
      <c r="F394" s="80">
        <f t="shared" si="382"/>
        <v>1187045.5136483547</v>
      </c>
      <c r="G394" s="47"/>
      <c r="I394" s="81">
        <f t="shared" si="383"/>
        <v>106.97395710066898</v>
      </c>
      <c r="J394" s="82">
        <f t="shared" si="384"/>
        <v>4.0999999999999999E-4</v>
      </c>
      <c r="K394" s="81"/>
      <c r="L394" s="81">
        <f t="shared" si="385"/>
        <v>3130945.0858732383</v>
      </c>
      <c r="M394" s="83">
        <f t="shared" si="380"/>
        <v>60265.013826890943</v>
      </c>
      <c r="N394" s="84"/>
      <c r="O394" s="72">
        <v>308</v>
      </c>
      <c r="P394" s="47" t="str">
        <f>IF(S393&gt;0.005,"August","")</f>
        <v/>
      </c>
      <c r="Q394" s="80">
        <f t="shared" si="394"/>
        <v>0</v>
      </c>
      <c r="R394" s="80">
        <f t="shared" si="386"/>
        <v>0</v>
      </c>
      <c r="S394" s="80">
        <f t="shared" si="387"/>
        <v>0</v>
      </c>
      <c r="T394" s="47"/>
      <c r="U394" s="84"/>
      <c r="V394" s="72">
        <v>308</v>
      </c>
      <c r="W394" s="47" t="e">
        <f>IF(Z393&gt;0.005,"August","")</f>
        <v>#NAME?</v>
      </c>
      <c r="X394" s="80" t="e">
        <f t="shared" si="388"/>
        <v>#NAME?</v>
      </c>
      <c r="Y394" s="80"/>
      <c r="Z394" s="80" t="e">
        <f t="shared" si="389"/>
        <v>#NAME?</v>
      </c>
      <c r="AA394" s="47"/>
      <c r="AB394" s="84"/>
      <c r="AC394" s="83"/>
      <c r="AD394" s="47" t="str">
        <f>IF(AG393&gt;0.005,"August","")</f>
        <v/>
      </c>
      <c r="AE394" s="80">
        <f t="shared" si="390"/>
        <v>0</v>
      </c>
      <c r="AF394" s="80">
        <f t="shared" si="391"/>
        <v>0</v>
      </c>
      <c r="AG394" s="80">
        <f t="shared" si="392"/>
        <v>0</v>
      </c>
      <c r="AH394" s="47"/>
    </row>
    <row r="395" spans="2:34" x14ac:dyDescent="0.25">
      <c r="B395" s="72">
        <v>309</v>
      </c>
      <c r="C395" s="47" t="str">
        <f>IF(F394&gt;0.005,"September","")</f>
        <v>September</v>
      </c>
      <c r="D395" s="80">
        <f t="shared" si="393"/>
        <v>4055.74</v>
      </c>
      <c r="E395" s="80">
        <f t="shared" si="381"/>
        <v>20587.376926226869</v>
      </c>
      <c r="F395" s="80">
        <f t="shared" si="382"/>
        <v>1166458.1367221279</v>
      </c>
      <c r="G395" s="47"/>
      <c r="I395" s="81">
        <f t="shared" si="383"/>
        <v>106.97395710066898</v>
      </c>
      <c r="J395" s="82">
        <f t="shared" si="384"/>
        <v>4.0999999999999999E-4</v>
      </c>
      <c r="K395" s="81"/>
      <c r="L395" s="81">
        <f t="shared" si="385"/>
        <v>3130945.0858732383</v>
      </c>
      <c r="M395" s="83">
        <f t="shared" si="380"/>
        <v>61445.631385269007</v>
      </c>
      <c r="N395" s="84"/>
      <c r="O395" s="72">
        <v>309</v>
      </c>
      <c r="P395" s="47" t="str">
        <f>IF(S394&gt;0.005,"September","")</f>
        <v/>
      </c>
      <c r="Q395" s="80">
        <f t="shared" si="394"/>
        <v>0</v>
      </c>
      <c r="R395" s="80">
        <f t="shared" si="386"/>
        <v>0</v>
      </c>
      <c r="S395" s="80">
        <f t="shared" si="387"/>
        <v>0</v>
      </c>
      <c r="T395" s="47"/>
      <c r="U395" s="84"/>
      <c r="V395" s="72">
        <v>309</v>
      </c>
      <c r="W395" s="47" t="e">
        <f>IF(Z394&gt;0.005,"September","")</f>
        <v>#NAME?</v>
      </c>
      <c r="X395" s="80" t="e">
        <f t="shared" si="388"/>
        <v>#NAME?</v>
      </c>
      <c r="Y395" s="80"/>
      <c r="Z395" s="80" t="e">
        <f t="shared" si="389"/>
        <v>#NAME?</v>
      </c>
      <c r="AA395" s="47"/>
      <c r="AB395" s="84"/>
      <c r="AC395" s="83"/>
      <c r="AD395" s="47" t="str">
        <f>IF(AG394&gt;0.005,"September","")</f>
        <v/>
      </c>
      <c r="AE395" s="80">
        <f t="shared" si="390"/>
        <v>0</v>
      </c>
      <c r="AF395" s="80">
        <f t="shared" si="391"/>
        <v>0</v>
      </c>
      <c r="AG395" s="80">
        <f t="shared" si="392"/>
        <v>0</v>
      </c>
      <c r="AH395" s="47"/>
    </row>
    <row r="396" spans="2:34" x14ac:dyDescent="0.25">
      <c r="B396" s="72">
        <v>310</v>
      </c>
      <c r="C396" s="47" t="str">
        <f>IF(F395&gt;0.005,"October","")</f>
        <v>October</v>
      </c>
      <c r="D396" s="80">
        <f t="shared" si="393"/>
        <v>3985.4</v>
      </c>
      <c r="E396" s="80">
        <f t="shared" si="381"/>
        <v>20657.716926226869</v>
      </c>
      <c r="F396" s="80">
        <f t="shared" si="382"/>
        <v>1145800.419795901</v>
      </c>
      <c r="G396" s="47"/>
      <c r="I396" s="81">
        <f t="shared" si="383"/>
        <v>106.97395710066898</v>
      </c>
      <c r="J396" s="82">
        <f t="shared" si="384"/>
        <v>4.0999999999999999E-4</v>
      </c>
      <c r="K396" s="81"/>
      <c r="L396" s="81">
        <f t="shared" si="385"/>
        <v>3130945.0858732383</v>
      </c>
      <c r="M396" s="83">
        <f t="shared" si="380"/>
        <v>62673.473658165123</v>
      </c>
      <c r="N396" s="84"/>
      <c r="O396" s="72">
        <v>310</v>
      </c>
      <c r="P396" s="47" t="str">
        <f>IF(S395&gt;0.005,"October","")</f>
        <v/>
      </c>
      <c r="Q396" s="80">
        <f t="shared" si="394"/>
        <v>0</v>
      </c>
      <c r="R396" s="80">
        <f t="shared" si="386"/>
        <v>0</v>
      </c>
      <c r="S396" s="80">
        <f t="shared" si="387"/>
        <v>0</v>
      </c>
      <c r="T396" s="47"/>
      <c r="U396" s="84"/>
      <c r="V396" s="72">
        <v>310</v>
      </c>
      <c r="W396" s="47" t="e">
        <f>IF(Z395&gt;0.005,"October","")</f>
        <v>#NAME?</v>
      </c>
      <c r="X396" s="80" t="e">
        <f t="shared" si="388"/>
        <v>#NAME?</v>
      </c>
      <c r="Y396" s="80"/>
      <c r="Z396" s="80" t="e">
        <f t="shared" si="389"/>
        <v>#NAME?</v>
      </c>
      <c r="AA396" s="47"/>
      <c r="AB396" s="84"/>
      <c r="AC396" s="83"/>
      <c r="AD396" s="47" t="str">
        <f>IF(AG395&gt;0.005,"October","")</f>
        <v/>
      </c>
      <c r="AE396" s="80">
        <f t="shared" si="390"/>
        <v>0</v>
      </c>
      <c r="AF396" s="80">
        <f t="shared" si="391"/>
        <v>0</v>
      </c>
      <c r="AG396" s="80">
        <f t="shared" si="392"/>
        <v>0</v>
      </c>
      <c r="AH396" s="47"/>
    </row>
    <row r="397" spans="2:34" x14ac:dyDescent="0.25">
      <c r="B397" s="72">
        <v>311</v>
      </c>
      <c r="C397" s="47" t="str">
        <f>IF(F396&gt;0.005,"November","")</f>
        <v>November</v>
      </c>
      <c r="D397" s="80">
        <f t="shared" si="393"/>
        <v>3914.82</v>
      </c>
      <c r="E397" s="80">
        <f t="shared" si="381"/>
        <v>20728.296926226871</v>
      </c>
      <c r="F397" s="80">
        <f t="shared" si="382"/>
        <v>1125072.1228696741</v>
      </c>
      <c r="G397" s="47"/>
      <c r="I397" s="81">
        <f t="shared" si="383"/>
        <v>106.97395710066898</v>
      </c>
      <c r="J397" s="82">
        <f t="shared" si="384"/>
        <v>4.0999999999999999E-4</v>
      </c>
      <c r="K397" s="81"/>
      <c r="L397" s="81">
        <f t="shared" si="385"/>
        <v>3130945.0858732383</v>
      </c>
      <c r="M397" s="83">
        <f t="shared" si="380"/>
        <v>63951.431954631429</v>
      </c>
      <c r="N397" s="84"/>
      <c r="O397" s="72">
        <v>311</v>
      </c>
      <c r="P397" s="47" t="str">
        <f>IF(S396&gt;0.005,"November","")</f>
        <v/>
      </c>
      <c r="Q397" s="80">
        <f t="shared" si="394"/>
        <v>0</v>
      </c>
      <c r="R397" s="80">
        <f t="shared" si="386"/>
        <v>0</v>
      </c>
      <c r="S397" s="80">
        <f t="shared" si="387"/>
        <v>0</v>
      </c>
      <c r="T397" s="47"/>
      <c r="U397" s="84"/>
      <c r="V397" s="72">
        <v>311</v>
      </c>
      <c r="W397" s="47" t="e">
        <f>IF(Z396&gt;0.005,"November","")</f>
        <v>#NAME?</v>
      </c>
      <c r="X397" s="80" t="e">
        <f t="shared" si="388"/>
        <v>#NAME?</v>
      </c>
      <c r="Y397" s="80"/>
      <c r="Z397" s="80" t="e">
        <f t="shared" si="389"/>
        <v>#NAME?</v>
      </c>
      <c r="AA397" s="47"/>
      <c r="AB397" s="84"/>
      <c r="AC397" s="83"/>
      <c r="AD397" s="47" t="str">
        <f>IF(AG396&gt;0.005,"November","")</f>
        <v/>
      </c>
      <c r="AE397" s="80">
        <f t="shared" si="390"/>
        <v>0</v>
      </c>
      <c r="AF397" s="80">
        <f t="shared" si="391"/>
        <v>0</v>
      </c>
      <c r="AG397" s="80">
        <f t="shared" si="392"/>
        <v>0</v>
      </c>
      <c r="AH397" s="47"/>
    </row>
    <row r="398" spans="2:34" x14ac:dyDescent="0.25">
      <c r="B398" s="72">
        <v>312</v>
      </c>
      <c r="C398" s="47" t="str">
        <f>IF(F397&gt;0.005,"December","")</f>
        <v>December</v>
      </c>
      <c r="D398" s="80">
        <f>IF(F397&gt;0,ROUND(F397*($F$6/12),2),0)</f>
        <v>3844</v>
      </c>
      <c r="E398" s="80">
        <f t="shared" si="381"/>
        <v>20799.11692622687</v>
      </c>
      <c r="F398" s="80">
        <f t="shared" si="382"/>
        <v>1104273.0059434474</v>
      </c>
      <c r="G398" s="47"/>
      <c r="I398" s="81">
        <f t="shared" si="383"/>
        <v>106.97395710066898</v>
      </c>
      <c r="J398" s="82">
        <f t="shared" si="384"/>
        <v>4.0999999999999999E-4</v>
      </c>
      <c r="K398" s="81"/>
      <c r="L398" s="81">
        <f t="shared" si="385"/>
        <v>3130945.0858732383</v>
      </c>
      <c r="M398" s="83">
        <f t="shared" si="380"/>
        <v>65282.638526141047</v>
      </c>
      <c r="N398" s="84"/>
      <c r="O398" s="72">
        <v>312</v>
      </c>
      <c r="P398" s="47" t="str">
        <f>IF(S397&gt;0.005,"December","")</f>
        <v/>
      </c>
      <c r="Q398" s="80">
        <f t="shared" si="394"/>
        <v>0</v>
      </c>
      <c r="R398" s="80">
        <f t="shared" si="386"/>
        <v>0</v>
      </c>
      <c r="S398" s="80">
        <f t="shared" si="387"/>
        <v>0</v>
      </c>
      <c r="T398" s="47"/>
      <c r="U398" s="84"/>
      <c r="V398" s="72">
        <v>312</v>
      </c>
      <c r="W398" s="47" t="e">
        <f>IF(Z397&gt;0.005,"December","")</f>
        <v>#NAME?</v>
      </c>
      <c r="X398" s="80" t="e">
        <f t="shared" si="388"/>
        <v>#NAME?</v>
      </c>
      <c r="Y398" s="80"/>
      <c r="Z398" s="80" t="e">
        <f t="shared" si="389"/>
        <v>#NAME?</v>
      </c>
      <c r="AA398" s="47"/>
      <c r="AB398" s="84"/>
      <c r="AC398" s="83"/>
      <c r="AD398" s="47" t="str">
        <f>IF(AG397&gt;0.005,"December","")</f>
        <v/>
      </c>
      <c r="AE398" s="80">
        <f t="shared" si="390"/>
        <v>0</v>
      </c>
      <c r="AF398" s="80">
        <f t="shared" si="391"/>
        <v>0</v>
      </c>
      <c r="AG398" s="80">
        <f t="shared" si="392"/>
        <v>0</v>
      </c>
      <c r="AH398" s="47"/>
    </row>
    <row r="399" spans="2:34" x14ac:dyDescent="0.25">
      <c r="B399" s="46"/>
      <c r="C399" s="85" t="str">
        <f>"Total "&amp;YEAR($C$9)+25</f>
        <v>Total 2044</v>
      </c>
      <c r="D399" s="86">
        <f>SUM(D387:D398)</f>
        <v>50749.549999999996</v>
      </c>
      <c r="E399" s="86">
        <f>SUM(E387:E398)</f>
        <v>244967.85311472244</v>
      </c>
      <c r="F399" s="87"/>
      <c r="G399" s="47"/>
      <c r="I399" s="86">
        <f>SUM(I387:I398)</f>
        <v>1283.6874852080275</v>
      </c>
      <c r="J399" s="46"/>
      <c r="K399" s="86">
        <f>SUM(K387:K398)</f>
        <v>0</v>
      </c>
      <c r="L399" s="46"/>
      <c r="M399" s="46"/>
      <c r="O399" s="46"/>
      <c r="P399" s="85" t="str">
        <f>"Total "&amp;YEAR($C$9)+25</f>
        <v>Total 2044</v>
      </c>
      <c r="Q399" s="86">
        <f>SUM(Q387:Q398)</f>
        <v>0</v>
      </c>
      <c r="R399" s="86">
        <f>SUM(R387:R398)</f>
        <v>0</v>
      </c>
      <c r="S399" s="87"/>
      <c r="T399" s="47"/>
      <c r="V399" s="46"/>
      <c r="W399" s="85" t="str">
        <f>"Total "&amp;YEAR($C$9)+25</f>
        <v>Total 2044</v>
      </c>
      <c r="X399" s="86" t="e">
        <f>SUM(X387:X398)</f>
        <v>#NAME?</v>
      </c>
      <c r="Y399" s="86">
        <f>SUM(Y387:Y398)</f>
        <v>0</v>
      </c>
      <c r="Z399" s="87"/>
      <c r="AA399" s="47"/>
      <c r="AC399" s="46"/>
      <c r="AD399" s="85" t="str">
        <f>"Total "&amp;YEAR($C$9)+25</f>
        <v>Total 2044</v>
      </c>
      <c r="AE399" s="86">
        <f>SUM(AE387:AE398)</f>
        <v>0</v>
      </c>
      <c r="AF399" s="86">
        <f>SUM(AF387:AF398)</f>
        <v>0</v>
      </c>
      <c r="AG399" s="87"/>
      <c r="AH399" s="47"/>
    </row>
    <row r="400" spans="2:34" x14ac:dyDescent="0.25">
      <c r="B400" s="46"/>
      <c r="C400" s="50"/>
      <c r="D400" s="88"/>
      <c r="E400" s="88"/>
      <c r="F400" s="80"/>
      <c r="G400" s="47"/>
      <c r="I400" s="46"/>
      <c r="J400" s="46"/>
      <c r="K400" s="46"/>
      <c r="L400" s="46"/>
      <c r="M400" s="46"/>
      <c r="O400" s="46"/>
      <c r="P400" s="50"/>
      <c r="Q400" s="88"/>
      <c r="R400" s="88"/>
      <c r="S400" s="80"/>
      <c r="T400" s="47"/>
      <c r="V400" s="46"/>
      <c r="W400" s="50"/>
      <c r="X400" s="88"/>
      <c r="Y400" s="88"/>
      <c r="Z400" s="80"/>
      <c r="AA400" s="47"/>
      <c r="AC400" s="46"/>
      <c r="AD400" s="50"/>
      <c r="AE400" s="88"/>
      <c r="AF400" s="88"/>
      <c r="AG400" s="80"/>
      <c r="AH400" s="47"/>
    </row>
    <row r="401" spans="2:34" x14ac:dyDescent="0.25">
      <c r="B401" s="46"/>
      <c r="C401" s="47"/>
      <c r="D401" s="75" t="s">
        <v>62</v>
      </c>
      <c r="E401" s="75" t="s">
        <v>63</v>
      </c>
      <c r="F401" s="75" t="s">
        <v>64</v>
      </c>
      <c r="G401" s="47"/>
      <c r="I401" s="46"/>
      <c r="J401" s="46"/>
      <c r="K401" s="46"/>
      <c r="L401" s="46"/>
      <c r="M401" s="46"/>
      <c r="O401" s="46"/>
      <c r="P401" s="47"/>
      <c r="Q401" s="75" t="s">
        <v>62</v>
      </c>
      <c r="R401" s="75" t="s">
        <v>63</v>
      </c>
      <c r="S401" s="75" t="s">
        <v>64</v>
      </c>
      <c r="T401" s="47"/>
      <c r="V401" s="46"/>
      <c r="W401" s="47"/>
      <c r="X401" s="75" t="s">
        <v>62</v>
      </c>
      <c r="Y401" s="75" t="s">
        <v>63</v>
      </c>
      <c r="Z401" s="75" t="s">
        <v>64</v>
      </c>
      <c r="AA401" s="47"/>
      <c r="AC401" s="46"/>
      <c r="AD401" s="47"/>
      <c r="AE401" s="75" t="s">
        <v>62</v>
      </c>
      <c r="AF401" s="75" t="s">
        <v>63</v>
      </c>
      <c r="AG401" s="75" t="s">
        <v>64</v>
      </c>
      <c r="AH401" s="47"/>
    </row>
    <row r="402" spans="2:34" x14ac:dyDescent="0.25">
      <c r="B402" s="72">
        <v>313</v>
      </c>
      <c r="C402" s="47" t="str">
        <f>IF(F398&gt;0.005,"January","")</f>
        <v>January</v>
      </c>
      <c r="D402" s="80">
        <f>IF(F398&gt;0,ROUND(F398*($F$6/12),2),0)</f>
        <v>3772.93</v>
      </c>
      <c r="E402" s="80">
        <f>IF(F398&lt;$D$8,F398,$D$8-D402)</f>
        <v>20870.18692622687</v>
      </c>
      <c r="F402" s="80">
        <f>IF(F398-E402&gt;0,F398-E402,0)</f>
        <v>1083402.8190172205</v>
      </c>
      <c r="G402" s="47"/>
      <c r="I402" s="81">
        <f>L398*J402/12</f>
        <v>106.97395710066898</v>
      </c>
      <c r="J402" s="82">
        <f>$F$6/100</f>
        <v>4.0999999999999999E-4</v>
      </c>
      <c r="K402" s="81"/>
      <c r="L402" s="81">
        <f>MAX(L398+L398*($F$6/100)/12-I402-K402,0)</f>
        <v>3130945.0858732383</v>
      </c>
      <c r="M402" s="83">
        <f t="shared" ref="M402:M413" si="395">-PMT(($F$6/100)/12,$D$7-B402,L402,0,0)</f>
        <v>66670.492198760578</v>
      </c>
      <c r="N402" s="84"/>
      <c r="O402" s="72">
        <v>313</v>
      </c>
      <c r="P402" s="47" t="str">
        <f>IF(S398&gt;0.005,"January","")</f>
        <v/>
      </c>
      <c r="Q402" s="80">
        <f>IF(O402&lt;$S$7,"",IF(O402=$S$7,$Q$6*($S$6/12),S398*($S$6/12)))</f>
        <v>0</v>
      </c>
      <c r="R402" s="80">
        <f>IF(O402&lt;$S$7,"",$Q$8-Q402)</f>
        <v>0</v>
      </c>
      <c r="S402" s="80">
        <f>IF(O402&lt;$S$7,"",IF(O402=$S$7,$Q$6-R402,S398-R402))</f>
        <v>0</v>
      </c>
      <c r="T402" s="47"/>
      <c r="U402" s="84"/>
      <c r="V402" s="72">
        <v>313</v>
      </c>
      <c r="W402" s="47" t="e">
        <f>IF(Z398&gt;0.005,"January","")</f>
        <v>#NAME?</v>
      </c>
      <c r="X402" s="80" t="e">
        <f>IF(V402&lt;$Z$7,"",($Z$6/12)*$X$6)</f>
        <v>#NAME?</v>
      </c>
      <c r="Y402" s="80"/>
      <c r="Z402" s="80" t="e">
        <f>IF(V402&lt;$S$7,"",$X$6)</f>
        <v>#NAME?</v>
      </c>
      <c r="AA402" s="47"/>
      <c r="AB402" s="84"/>
      <c r="AC402" s="83"/>
      <c r="AD402" s="47" t="str">
        <f>IF(AG398&gt;0.005,"January","")</f>
        <v/>
      </c>
      <c r="AE402" s="80">
        <f>IF(AG398&gt;0,ROUND(AG398*($AG$6/1200),2),0)</f>
        <v>0</v>
      </c>
      <c r="AF402" s="80">
        <f>IF(AG398&lt;$AE$8,AG398,$AE$8-AE402)</f>
        <v>0</v>
      </c>
      <c r="AG402" s="80">
        <f>IF(AG398-AF402&gt;0,AG398-AF402,0)</f>
        <v>0</v>
      </c>
      <c r="AH402" s="47"/>
    </row>
    <row r="403" spans="2:34" x14ac:dyDescent="0.25">
      <c r="B403" s="72">
        <v>314</v>
      </c>
      <c r="C403" s="47" t="str">
        <f>IF(F402&gt;0.005,"February","")</f>
        <v>February</v>
      </c>
      <c r="D403" s="80">
        <f>IF(F402&gt;0,ROUND(F402*($F$6/12),2),0)</f>
        <v>3701.63</v>
      </c>
      <c r="E403" s="80">
        <f t="shared" ref="E403:E413" si="396">IF(F402&lt;$D$8,F402,$D$8-D403)</f>
        <v>20941.486926226869</v>
      </c>
      <c r="F403" s="80">
        <f t="shared" ref="F403:F413" si="397">IF(F402-E403&gt;0,F402-E403,0)</f>
        <v>1062461.3320909936</v>
      </c>
      <c r="G403" s="47"/>
      <c r="I403" s="81">
        <f t="shared" ref="I403:I413" si="398">L402*J403/12</f>
        <v>106.97395710066898</v>
      </c>
      <c r="J403" s="82">
        <f t="shared" ref="J403:J413" si="399">$F$6/100</f>
        <v>4.0999999999999999E-4</v>
      </c>
      <c r="K403" s="81"/>
      <c r="L403" s="81">
        <f t="shared" ref="L403:L413" si="400">MAX(L402+L402*($F$6/100)/12-I403-K403,0)</f>
        <v>3130945.0858732383</v>
      </c>
      <c r="M403" s="83">
        <f t="shared" si="395"/>
        <v>68118.687348649357</v>
      </c>
      <c r="N403" s="84"/>
      <c r="O403" s="72">
        <v>314</v>
      </c>
      <c r="P403" s="47" t="str">
        <f>IF(S402&gt;0.005,"February","")</f>
        <v/>
      </c>
      <c r="Q403" s="80">
        <f>IF(O403&lt;$S$7,"",IF(O403=$S$7,$Q$6*($S$6/12),S402*($S$6/12)))</f>
        <v>0</v>
      </c>
      <c r="R403" s="80">
        <f t="shared" ref="R403:R413" si="401">IF(O403&lt;$S$7,"",$Q$8-Q403)</f>
        <v>0</v>
      </c>
      <c r="S403" s="80">
        <f t="shared" ref="S403:S413" si="402">IF(O403&lt;$S$7,"",IF(O403=$S$7,$Q$6-R403,S402-R403))</f>
        <v>0</v>
      </c>
      <c r="T403" s="47"/>
      <c r="U403" s="84"/>
      <c r="V403" s="72">
        <v>314</v>
      </c>
      <c r="W403" s="47" t="e">
        <f>IF(Z402&gt;0.005,"February","")</f>
        <v>#NAME?</v>
      </c>
      <c r="X403" s="80" t="e">
        <f t="shared" ref="X403:X413" si="403">IF(V403&lt;$Z$7,"",($Z$6/12)*$X$6)</f>
        <v>#NAME?</v>
      </c>
      <c r="Y403" s="80"/>
      <c r="Z403" s="80" t="e">
        <f t="shared" ref="Z403:Z413" si="404">IF(V403&lt;$S$7,"",$X$6)</f>
        <v>#NAME?</v>
      </c>
      <c r="AA403" s="47"/>
      <c r="AB403" s="84"/>
      <c r="AC403" s="83"/>
      <c r="AD403" s="47" t="str">
        <f>IF(AG402&gt;0.005,"February","")</f>
        <v/>
      </c>
      <c r="AE403" s="80">
        <f t="shared" ref="AE403:AE413" si="405">IF(AG402&gt;0,ROUND(AG402*($AG$6/1200),2),0)</f>
        <v>0</v>
      </c>
      <c r="AF403" s="80">
        <f t="shared" ref="AF403:AF413" si="406">IF(AG402&lt;$AE$8,AG402,$AE$8-AE403)</f>
        <v>0</v>
      </c>
      <c r="AG403" s="80">
        <f t="shared" ref="AG403:AG413" si="407">IF(AG402-AF403&gt;0,AG402-AF403,0)</f>
        <v>0</v>
      </c>
      <c r="AH403" s="47"/>
    </row>
    <row r="404" spans="2:34" x14ac:dyDescent="0.25">
      <c r="B404" s="72">
        <v>315</v>
      </c>
      <c r="C404" s="47" t="str">
        <f>IF(F403&gt;0.005,"March","")</f>
        <v>March</v>
      </c>
      <c r="D404" s="80">
        <f t="shared" ref="D404:D412" si="408">IF(F403&gt;0,ROUND(F403*($F$6/12),2),0)</f>
        <v>3630.08</v>
      </c>
      <c r="E404" s="80">
        <f t="shared" si="396"/>
        <v>21013.036926226872</v>
      </c>
      <c r="F404" s="80">
        <f t="shared" si="397"/>
        <v>1041448.2951647667</v>
      </c>
      <c r="G404" s="47"/>
      <c r="I404" s="81">
        <f t="shared" si="398"/>
        <v>106.97395710066898</v>
      </c>
      <c r="J404" s="82">
        <f t="shared" si="399"/>
        <v>4.0999999999999999E-4</v>
      </c>
      <c r="K404" s="81"/>
      <c r="L404" s="81">
        <f t="shared" si="400"/>
        <v>3130945.0858732383</v>
      </c>
      <c r="M404" s="83">
        <f t="shared" si="395"/>
        <v>69631.246740958682</v>
      </c>
      <c r="N404" s="84"/>
      <c r="O404" s="72">
        <v>315</v>
      </c>
      <c r="P404" s="47" t="str">
        <f>IF(S403&gt;0.005,"March","")</f>
        <v/>
      </c>
      <c r="Q404" s="80">
        <f t="shared" ref="Q404:Q413" si="409">IF(O404&lt;$S$7,"",IF(O404=$S$7,$Q$6*($S$6/12),S403*($S$6/12)))</f>
        <v>0</v>
      </c>
      <c r="R404" s="80">
        <f t="shared" si="401"/>
        <v>0</v>
      </c>
      <c r="S404" s="80">
        <f t="shared" si="402"/>
        <v>0</v>
      </c>
      <c r="T404" s="47"/>
      <c r="U404" s="84"/>
      <c r="V404" s="72">
        <v>315</v>
      </c>
      <c r="W404" s="47" t="e">
        <f>IF(Z403&gt;0.005,"March","")</f>
        <v>#NAME?</v>
      </c>
      <c r="X404" s="80" t="e">
        <f t="shared" si="403"/>
        <v>#NAME?</v>
      </c>
      <c r="Y404" s="80"/>
      <c r="Z404" s="80" t="e">
        <f t="shared" si="404"/>
        <v>#NAME?</v>
      </c>
      <c r="AA404" s="47"/>
      <c r="AB404" s="84"/>
      <c r="AC404" s="83"/>
      <c r="AD404" s="47" t="str">
        <f>IF(AG403&gt;0.005,"March","")</f>
        <v/>
      </c>
      <c r="AE404" s="80">
        <f t="shared" si="405"/>
        <v>0</v>
      </c>
      <c r="AF404" s="80">
        <f t="shared" si="406"/>
        <v>0</v>
      </c>
      <c r="AG404" s="80">
        <f t="shared" si="407"/>
        <v>0</v>
      </c>
      <c r="AH404" s="47"/>
    </row>
    <row r="405" spans="2:34" x14ac:dyDescent="0.25">
      <c r="B405" s="72">
        <v>316</v>
      </c>
      <c r="C405" s="47" t="str">
        <f>IF(F404&gt;0.005,"April","")</f>
        <v>April</v>
      </c>
      <c r="D405" s="80">
        <f t="shared" si="408"/>
        <v>3558.28</v>
      </c>
      <c r="E405" s="80">
        <f t="shared" si="396"/>
        <v>21084.836926226872</v>
      </c>
      <c r="F405" s="80">
        <f t="shared" si="397"/>
        <v>1020363.4582385399</v>
      </c>
      <c r="G405" s="47"/>
      <c r="I405" s="81">
        <f t="shared" si="398"/>
        <v>106.97395710066898</v>
      </c>
      <c r="J405" s="82">
        <f t="shared" si="399"/>
        <v>4.0999999999999999E-4</v>
      </c>
      <c r="K405" s="81"/>
      <c r="L405" s="81">
        <f t="shared" si="400"/>
        <v>3130945.0858732383</v>
      </c>
      <c r="M405" s="83">
        <f t="shared" si="395"/>
        <v>71212.55884676268</v>
      </c>
      <c r="N405" s="84"/>
      <c r="O405" s="72">
        <v>316</v>
      </c>
      <c r="P405" s="47" t="str">
        <f>IF(S404&gt;0.005,"April","")</f>
        <v/>
      </c>
      <c r="Q405" s="80">
        <f t="shared" si="409"/>
        <v>0</v>
      </c>
      <c r="R405" s="80">
        <f t="shared" si="401"/>
        <v>0</v>
      </c>
      <c r="S405" s="80">
        <f t="shared" si="402"/>
        <v>0</v>
      </c>
      <c r="T405" s="47"/>
      <c r="U405" s="84"/>
      <c r="V405" s="72">
        <v>316</v>
      </c>
      <c r="W405" s="47" t="e">
        <f>IF(Z404&gt;0.005,"April","")</f>
        <v>#NAME?</v>
      </c>
      <c r="X405" s="80" t="e">
        <f t="shared" si="403"/>
        <v>#NAME?</v>
      </c>
      <c r="Y405" s="80"/>
      <c r="Z405" s="80" t="e">
        <f t="shared" si="404"/>
        <v>#NAME?</v>
      </c>
      <c r="AA405" s="47"/>
      <c r="AB405" s="84"/>
      <c r="AC405" s="83"/>
      <c r="AD405" s="47" t="str">
        <f>IF(AG404&gt;0.005,"April","")</f>
        <v/>
      </c>
      <c r="AE405" s="80">
        <f t="shared" si="405"/>
        <v>0</v>
      </c>
      <c r="AF405" s="80">
        <f t="shared" si="406"/>
        <v>0</v>
      </c>
      <c r="AG405" s="80">
        <f t="shared" si="407"/>
        <v>0</v>
      </c>
      <c r="AH405" s="47"/>
    </row>
    <row r="406" spans="2:34" x14ac:dyDescent="0.25">
      <c r="B406" s="72">
        <v>317</v>
      </c>
      <c r="C406" s="47" t="str">
        <f>IF(F405&gt;0.005,"May","")</f>
        <v>May</v>
      </c>
      <c r="D406" s="80">
        <f t="shared" si="408"/>
        <v>3486.24</v>
      </c>
      <c r="E406" s="80">
        <f t="shared" si="396"/>
        <v>21156.876926226869</v>
      </c>
      <c r="F406" s="80">
        <f t="shared" si="397"/>
        <v>999206.58131231298</v>
      </c>
      <c r="G406" s="47"/>
      <c r="I406" s="81">
        <f t="shared" si="398"/>
        <v>106.97395710066898</v>
      </c>
      <c r="J406" s="82">
        <f t="shared" si="399"/>
        <v>4.0999999999999999E-4</v>
      </c>
      <c r="K406" s="81"/>
      <c r="L406" s="81">
        <f t="shared" si="400"/>
        <v>3130945.0858732383</v>
      </c>
      <c r="M406" s="83">
        <f t="shared" si="395"/>
        <v>72867.420367002822</v>
      </c>
      <c r="N406" s="84"/>
      <c r="O406" s="72">
        <v>317</v>
      </c>
      <c r="P406" s="47" t="str">
        <f>IF(S405&gt;0.005,"May","")</f>
        <v/>
      </c>
      <c r="Q406" s="80">
        <f t="shared" si="409"/>
        <v>0</v>
      </c>
      <c r="R406" s="80">
        <f t="shared" si="401"/>
        <v>0</v>
      </c>
      <c r="S406" s="80">
        <f t="shared" si="402"/>
        <v>0</v>
      </c>
      <c r="T406" s="47"/>
      <c r="U406" s="84"/>
      <c r="V406" s="72">
        <v>317</v>
      </c>
      <c r="W406" s="47" t="e">
        <f>IF(Z405&gt;0.005,"May","")</f>
        <v>#NAME?</v>
      </c>
      <c r="X406" s="80" t="e">
        <f t="shared" si="403"/>
        <v>#NAME?</v>
      </c>
      <c r="Y406" s="80"/>
      <c r="Z406" s="80" t="e">
        <f t="shared" si="404"/>
        <v>#NAME?</v>
      </c>
      <c r="AA406" s="47"/>
      <c r="AB406" s="84"/>
      <c r="AC406" s="83"/>
      <c r="AD406" s="47" t="str">
        <f>IF(AG405&gt;0.005,"May","")</f>
        <v/>
      </c>
      <c r="AE406" s="80">
        <f t="shared" si="405"/>
        <v>0</v>
      </c>
      <c r="AF406" s="80">
        <f t="shared" si="406"/>
        <v>0</v>
      </c>
      <c r="AG406" s="80">
        <f t="shared" si="407"/>
        <v>0</v>
      </c>
      <c r="AH406" s="47"/>
    </row>
    <row r="407" spans="2:34" x14ac:dyDescent="0.25">
      <c r="B407" s="72">
        <v>318</v>
      </c>
      <c r="C407" s="47" t="str">
        <f>IF(F406&gt;0.005,"June","")</f>
        <v>June</v>
      </c>
      <c r="D407" s="80">
        <f t="shared" si="408"/>
        <v>3413.96</v>
      </c>
      <c r="E407" s="80">
        <f t="shared" si="396"/>
        <v>21229.156926226871</v>
      </c>
      <c r="F407" s="80">
        <f t="shared" si="397"/>
        <v>977977.42438608606</v>
      </c>
      <c r="G407" s="47"/>
      <c r="I407" s="81">
        <f t="shared" si="398"/>
        <v>106.97395710066898</v>
      </c>
      <c r="J407" s="82">
        <f t="shared" si="399"/>
        <v>4.0999999999999999E-4</v>
      </c>
      <c r="K407" s="81"/>
      <c r="L407" s="81">
        <f t="shared" si="400"/>
        <v>3130945.0858732383</v>
      </c>
      <c r="M407" s="83">
        <f t="shared" si="395"/>
        <v>74601.084831281711</v>
      </c>
      <c r="N407" s="84"/>
      <c r="O407" s="72">
        <v>318</v>
      </c>
      <c r="P407" s="47" t="str">
        <f>IF(S406&gt;0.005,"June","")</f>
        <v/>
      </c>
      <c r="Q407" s="80">
        <f t="shared" si="409"/>
        <v>0</v>
      </c>
      <c r="R407" s="80">
        <f t="shared" si="401"/>
        <v>0</v>
      </c>
      <c r="S407" s="80">
        <f t="shared" si="402"/>
        <v>0</v>
      </c>
      <c r="T407" s="47"/>
      <c r="U407" s="84"/>
      <c r="V407" s="72">
        <v>318</v>
      </c>
      <c r="W407" s="47" t="e">
        <f>IF(Z406&gt;0.005,"June","")</f>
        <v>#NAME?</v>
      </c>
      <c r="X407" s="80" t="e">
        <f t="shared" si="403"/>
        <v>#NAME?</v>
      </c>
      <c r="Y407" s="80"/>
      <c r="Z407" s="80" t="e">
        <f t="shared" si="404"/>
        <v>#NAME?</v>
      </c>
      <c r="AA407" s="47"/>
      <c r="AB407" s="84"/>
      <c r="AC407" s="83"/>
      <c r="AD407" s="47" t="str">
        <f>IF(AG406&gt;0.005,"June","")</f>
        <v/>
      </c>
      <c r="AE407" s="80">
        <f t="shared" si="405"/>
        <v>0</v>
      </c>
      <c r="AF407" s="80">
        <f t="shared" si="406"/>
        <v>0</v>
      </c>
      <c r="AG407" s="80">
        <f t="shared" si="407"/>
        <v>0</v>
      </c>
      <c r="AH407" s="47"/>
    </row>
    <row r="408" spans="2:34" x14ac:dyDescent="0.25">
      <c r="B408" s="72">
        <v>319</v>
      </c>
      <c r="C408" s="47" t="str">
        <f>IF(F407&gt;0.005,"July","")</f>
        <v>July</v>
      </c>
      <c r="D408" s="80">
        <f t="shared" si="408"/>
        <v>3341.42</v>
      </c>
      <c r="E408" s="80">
        <f t="shared" si="396"/>
        <v>21301.696926226869</v>
      </c>
      <c r="F408" s="80">
        <f t="shared" si="397"/>
        <v>956675.72745985922</v>
      </c>
      <c r="G408" s="47"/>
      <c r="I408" s="81">
        <f t="shared" si="398"/>
        <v>106.97395710066898</v>
      </c>
      <c r="J408" s="82">
        <f t="shared" si="399"/>
        <v>4.0999999999999999E-4</v>
      </c>
      <c r="K408" s="81"/>
      <c r="L408" s="81">
        <f t="shared" si="400"/>
        <v>3130945.0858732383</v>
      </c>
      <c r="M408" s="83">
        <f t="shared" si="395"/>
        <v>76419.318308675356</v>
      </c>
      <c r="N408" s="84"/>
      <c r="O408" s="72">
        <v>319</v>
      </c>
      <c r="P408" s="47" t="str">
        <f>IF(S407&gt;0.005,"July","")</f>
        <v/>
      </c>
      <c r="Q408" s="80">
        <f t="shared" si="409"/>
        <v>0</v>
      </c>
      <c r="R408" s="80">
        <f t="shared" si="401"/>
        <v>0</v>
      </c>
      <c r="S408" s="80">
        <f t="shared" si="402"/>
        <v>0</v>
      </c>
      <c r="T408" s="47"/>
      <c r="U408" s="84"/>
      <c r="V408" s="72">
        <v>319</v>
      </c>
      <c r="W408" s="47" t="e">
        <f>IF(Z407&gt;0.005,"July","")</f>
        <v>#NAME?</v>
      </c>
      <c r="X408" s="80" t="e">
        <f t="shared" si="403"/>
        <v>#NAME?</v>
      </c>
      <c r="Y408" s="80"/>
      <c r="Z408" s="80" t="e">
        <f t="shared" si="404"/>
        <v>#NAME?</v>
      </c>
      <c r="AA408" s="47"/>
      <c r="AB408" s="84"/>
      <c r="AC408" s="83"/>
      <c r="AD408" s="47" t="str">
        <f>IF(AG407&gt;0.005,"July","")</f>
        <v/>
      </c>
      <c r="AE408" s="80">
        <f t="shared" si="405"/>
        <v>0</v>
      </c>
      <c r="AF408" s="80">
        <f t="shared" si="406"/>
        <v>0</v>
      </c>
      <c r="AG408" s="80">
        <f t="shared" si="407"/>
        <v>0</v>
      </c>
      <c r="AH408" s="47"/>
    </row>
    <row r="409" spans="2:34" x14ac:dyDescent="0.25">
      <c r="B409" s="72">
        <v>320</v>
      </c>
      <c r="C409" s="47" t="str">
        <f>IF(F408&gt;0.005,"August","")</f>
        <v>August</v>
      </c>
      <c r="D409" s="80">
        <f t="shared" si="408"/>
        <v>3268.64</v>
      </c>
      <c r="E409" s="80">
        <f t="shared" si="396"/>
        <v>21374.476926226871</v>
      </c>
      <c r="F409" s="80">
        <f t="shared" si="397"/>
        <v>935301.25053363235</v>
      </c>
      <c r="G409" s="47"/>
      <c r="I409" s="81">
        <f t="shared" si="398"/>
        <v>106.97395710066898</v>
      </c>
      <c r="J409" s="82">
        <f t="shared" si="399"/>
        <v>4.0999999999999999E-4</v>
      </c>
      <c r="K409" s="81"/>
      <c r="L409" s="81">
        <f t="shared" si="400"/>
        <v>3130945.0858732383</v>
      </c>
      <c r="M409" s="83">
        <f t="shared" si="395"/>
        <v>78328.463475167315</v>
      </c>
      <c r="N409" s="84"/>
      <c r="O409" s="72">
        <v>320</v>
      </c>
      <c r="P409" s="47" t="str">
        <f>IF(S408&gt;0.005,"August","")</f>
        <v/>
      </c>
      <c r="Q409" s="80">
        <f t="shared" si="409"/>
        <v>0</v>
      </c>
      <c r="R409" s="80">
        <f t="shared" si="401"/>
        <v>0</v>
      </c>
      <c r="S409" s="80">
        <f t="shared" si="402"/>
        <v>0</v>
      </c>
      <c r="T409" s="47"/>
      <c r="U409" s="84"/>
      <c r="V409" s="72">
        <v>320</v>
      </c>
      <c r="W409" s="47" t="e">
        <f>IF(Z408&gt;0.005,"August","")</f>
        <v>#NAME?</v>
      </c>
      <c r="X409" s="80" t="e">
        <f t="shared" si="403"/>
        <v>#NAME?</v>
      </c>
      <c r="Y409" s="80"/>
      <c r="Z409" s="80" t="e">
        <f t="shared" si="404"/>
        <v>#NAME?</v>
      </c>
      <c r="AA409" s="47"/>
      <c r="AB409" s="84"/>
      <c r="AC409" s="83"/>
      <c r="AD409" s="47" t="str">
        <f>IF(AG408&gt;0.005,"August","")</f>
        <v/>
      </c>
      <c r="AE409" s="80">
        <f t="shared" si="405"/>
        <v>0</v>
      </c>
      <c r="AF409" s="80">
        <f t="shared" si="406"/>
        <v>0</v>
      </c>
      <c r="AG409" s="80">
        <f t="shared" si="407"/>
        <v>0</v>
      </c>
      <c r="AH409" s="47"/>
    </row>
    <row r="410" spans="2:34" x14ac:dyDescent="0.25">
      <c r="B410" s="72">
        <v>321</v>
      </c>
      <c r="C410" s="47" t="str">
        <f>IF(F409&gt;0.005,"September","")</f>
        <v>September</v>
      </c>
      <c r="D410" s="80">
        <f t="shared" si="408"/>
        <v>3195.61</v>
      </c>
      <c r="E410" s="80">
        <f t="shared" si="396"/>
        <v>21447.50692622687</v>
      </c>
      <c r="F410" s="80">
        <f t="shared" si="397"/>
        <v>913853.74360740546</v>
      </c>
      <c r="G410" s="47"/>
      <c r="I410" s="81">
        <f t="shared" si="398"/>
        <v>106.97395710066898</v>
      </c>
      <c r="J410" s="82">
        <f t="shared" si="399"/>
        <v>4.0999999999999999E-4</v>
      </c>
      <c r="K410" s="81"/>
      <c r="L410" s="81">
        <f t="shared" si="400"/>
        <v>3130945.0858732383</v>
      </c>
      <c r="M410" s="83">
        <f t="shared" si="395"/>
        <v>80335.513537611361</v>
      </c>
      <c r="N410" s="84"/>
      <c r="O410" s="72">
        <v>321</v>
      </c>
      <c r="P410" s="47" t="str">
        <f>IF(S409&gt;0.005,"September","")</f>
        <v/>
      </c>
      <c r="Q410" s="80">
        <f t="shared" si="409"/>
        <v>0</v>
      </c>
      <c r="R410" s="80">
        <f t="shared" si="401"/>
        <v>0</v>
      </c>
      <c r="S410" s="80">
        <f t="shared" si="402"/>
        <v>0</v>
      </c>
      <c r="T410" s="47"/>
      <c r="U410" s="84"/>
      <c r="V410" s="72">
        <v>321</v>
      </c>
      <c r="W410" s="47" t="e">
        <f>IF(Z409&gt;0.005,"September","")</f>
        <v>#NAME?</v>
      </c>
      <c r="X410" s="80" t="e">
        <f t="shared" si="403"/>
        <v>#NAME?</v>
      </c>
      <c r="Y410" s="80"/>
      <c r="Z410" s="80" t="e">
        <f t="shared" si="404"/>
        <v>#NAME?</v>
      </c>
      <c r="AA410" s="47"/>
      <c r="AB410" s="84"/>
      <c r="AC410" s="83"/>
      <c r="AD410" s="47" t="str">
        <f>IF(AG409&gt;0.005,"September","")</f>
        <v/>
      </c>
      <c r="AE410" s="80">
        <f t="shared" si="405"/>
        <v>0</v>
      </c>
      <c r="AF410" s="80">
        <f t="shared" si="406"/>
        <v>0</v>
      </c>
      <c r="AG410" s="80">
        <f t="shared" si="407"/>
        <v>0</v>
      </c>
      <c r="AH410" s="47"/>
    </row>
    <row r="411" spans="2:34" x14ac:dyDescent="0.25">
      <c r="B411" s="72">
        <v>322</v>
      </c>
      <c r="C411" s="47" t="str">
        <f>IF(F410&gt;0.005,"October","")</f>
        <v>October</v>
      </c>
      <c r="D411" s="80">
        <f t="shared" si="408"/>
        <v>3122.33</v>
      </c>
      <c r="E411" s="80">
        <f t="shared" si="396"/>
        <v>21520.786926226872</v>
      </c>
      <c r="F411" s="80">
        <f t="shared" si="397"/>
        <v>892332.95668117853</v>
      </c>
      <c r="G411" s="47"/>
      <c r="I411" s="81">
        <f t="shared" si="398"/>
        <v>106.97395710066898</v>
      </c>
      <c r="J411" s="82">
        <f t="shared" si="399"/>
        <v>4.0999999999999999E-4</v>
      </c>
      <c r="K411" s="81"/>
      <c r="L411" s="81">
        <f t="shared" si="400"/>
        <v>3130945.0858732383</v>
      </c>
      <c r="M411" s="83">
        <f t="shared" si="395"/>
        <v>82448.197829898447</v>
      </c>
      <c r="N411" s="84"/>
      <c r="O411" s="72">
        <v>322</v>
      </c>
      <c r="P411" s="47" t="str">
        <f>IF(S410&gt;0.005,"October","")</f>
        <v/>
      </c>
      <c r="Q411" s="80">
        <f t="shared" si="409"/>
        <v>0</v>
      </c>
      <c r="R411" s="80">
        <f t="shared" si="401"/>
        <v>0</v>
      </c>
      <c r="S411" s="80">
        <f t="shared" si="402"/>
        <v>0</v>
      </c>
      <c r="T411" s="47"/>
      <c r="U411" s="84"/>
      <c r="V411" s="72">
        <v>322</v>
      </c>
      <c r="W411" s="47" t="e">
        <f>IF(Z410&gt;0.005,"October","")</f>
        <v>#NAME?</v>
      </c>
      <c r="X411" s="80" t="e">
        <f t="shared" si="403"/>
        <v>#NAME?</v>
      </c>
      <c r="Y411" s="80"/>
      <c r="Z411" s="80" t="e">
        <f t="shared" si="404"/>
        <v>#NAME?</v>
      </c>
      <c r="AA411" s="47"/>
      <c r="AB411" s="84"/>
      <c r="AC411" s="83"/>
      <c r="AD411" s="47" t="str">
        <f>IF(AG410&gt;0.005,"October","")</f>
        <v/>
      </c>
      <c r="AE411" s="80">
        <f t="shared" si="405"/>
        <v>0</v>
      </c>
      <c r="AF411" s="80">
        <f t="shared" si="406"/>
        <v>0</v>
      </c>
      <c r="AG411" s="80">
        <f t="shared" si="407"/>
        <v>0</v>
      </c>
      <c r="AH411" s="47"/>
    </row>
    <row r="412" spans="2:34" x14ac:dyDescent="0.25">
      <c r="B412" s="72">
        <v>323</v>
      </c>
      <c r="C412" s="47" t="str">
        <f>IF(F411&gt;0.005,"November","")</f>
        <v>November</v>
      </c>
      <c r="D412" s="80">
        <f t="shared" si="408"/>
        <v>3048.8</v>
      </c>
      <c r="E412" s="80">
        <f t="shared" si="396"/>
        <v>21594.316926226871</v>
      </c>
      <c r="F412" s="80">
        <f t="shared" si="397"/>
        <v>870738.6397549517</v>
      </c>
      <c r="G412" s="47"/>
      <c r="I412" s="81">
        <f t="shared" si="398"/>
        <v>106.97395710066898</v>
      </c>
      <c r="J412" s="82">
        <f t="shared" si="399"/>
        <v>4.0999999999999999E-4</v>
      </c>
      <c r="K412" s="81"/>
      <c r="L412" s="81">
        <f t="shared" si="400"/>
        <v>3130945.0858732383</v>
      </c>
      <c r="M412" s="83">
        <f t="shared" si="395"/>
        <v>84675.081289583381</v>
      </c>
      <c r="N412" s="84"/>
      <c r="O412" s="72">
        <v>323</v>
      </c>
      <c r="P412" s="47" t="str">
        <f>IF(S411&gt;0.005,"November","")</f>
        <v/>
      </c>
      <c r="Q412" s="80">
        <f t="shared" si="409"/>
        <v>0</v>
      </c>
      <c r="R412" s="80">
        <f t="shared" si="401"/>
        <v>0</v>
      </c>
      <c r="S412" s="80">
        <f t="shared" si="402"/>
        <v>0</v>
      </c>
      <c r="T412" s="47"/>
      <c r="U412" s="84"/>
      <c r="V412" s="72">
        <v>323</v>
      </c>
      <c r="W412" s="47" t="e">
        <f>IF(Z411&gt;0.005,"November","")</f>
        <v>#NAME?</v>
      </c>
      <c r="X412" s="80" t="e">
        <f t="shared" si="403"/>
        <v>#NAME?</v>
      </c>
      <c r="Y412" s="80"/>
      <c r="Z412" s="80" t="e">
        <f t="shared" si="404"/>
        <v>#NAME?</v>
      </c>
      <c r="AA412" s="47"/>
      <c r="AB412" s="84"/>
      <c r="AC412" s="83"/>
      <c r="AD412" s="47" t="str">
        <f>IF(AG411&gt;0.005,"November","")</f>
        <v/>
      </c>
      <c r="AE412" s="80">
        <f t="shared" si="405"/>
        <v>0</v>
      </c>
      <c r="AF412" s="80">
        <f t="shared" si="406"/>
        <v>0</v>
      </c>
      <c r="AG412" s="80">
        <f t="shared" si="407"/>
        <v>0</v>
      </c>
      <c r="AH412" s="47"/>
    </row>
    <row r="413" spans="2:34" x14ac:dyDescent="0.25">
      <c r="B413" s="72">
        <v>324</v>
      </c>
      <c r="C413" s="47" t="str">
        <f>IF(F412&gt;0.005,"December","")</f>
        <v>December</v>
      </c>
      <c r="D413" s="80">
        <f>IF(F412&gt;0,ROUND(F412*($F$6/12),2),0)</f>
        <v>2975.02</v>
      </c>
      <c r="E413" s="80">
        <f t="shared" si="396"/>
        <v>21668.09692622687</v>
      </c>
      <c r="F413" s="80">
        <f t="shared" si="397"/>
        <v>849070.54282872484</v>
      </c>
      <c r="G413" s="47"/>
      <c r="I413" s="81">
        <f t="shared" si="398"/>
        <v>106.97395710066898</v>
      </c>
      <c r="J413" s="82">
        <f t="shared" si="399"/>
        <v>4.0999999999999999E-4</v>
      </c>
      <c r="K413" s="81"/>
      <c r="L413" s="81">
        <f t="shared" si="400"/>
        <v>3130945.0858732383</v>
      </c>
      <c r="M413" s="83">
        <f t="shared" si="395"/>
        <v>87025.680513949308</v>
      </c>
      <c r="N413" s="84"/>
      <c r="O413" s="72">
        <v>324</v>
      </c>
      <c r="P413" s="47" t="str">
        <f>IF(S412&gt;0.005,"December","")</f>
        <v/>
      </c>
      <c r="Q413" s="80">
        <f t="shared" si="409"/>
        <v>0</v>
      </c>
      <c r="R413" s="80">
        <f t="shared" si="401"/>
        <v>0</v>
      </c>
      <c r="S413" s="80">
        <f t="shared" si="402"/>
        <v>0</v>
      </c>
      <c r="T413" s="47"/>
      <c r="U413" s="84"/>
      <c r="V413" s="72">
        <v>324</v>
      </c>
      <c r="W413" s="47" t="e">
        <f>IF(Z412&gt;0.005,"December","")</f>
        <v>#NAME?</v>
      </c>
      <c r="X413" s="80" t="e">
        <f t="shared" si="403"/>
        <v>#NAME?</v>
      </c>
      <c r="Y413" s="80"/>
      <c r="Z413" s="80" t="e">
        <f t="shared" si="404"/>
        <v>#NAME?</v>
      </c>
      <c r="AA413" s="47"/>
      <c r="AB413" s="84"/>
      <c r="AC413" s="83"/>
      <c r="AD413" s="47" t="str">
        <f>IF(AG412&gt;0.005,"December","")</f>
        <v/>
      </c>
      <c r="AE413" s="80">
        <f t="shared" si="405"/>
        <v>0</v>
      </c>
      <c r="AF413" s="80">
        <f t="shared" si="406"/>
        <v>0</v>
      </c>
      <c r="AG413" s="80">
        <f t="shared" si="407"/>
        <v>0</v>
      </c>
      <c r="AH413" s="47"/>
    </row>
    <row r="414" spans="2:34" x14ac:dyDescent="0.25">
      <c r="B414" s="46"/>
      <c r="C414" s="85" t="str">
        <f>"Total "&amp;YEAR($C$9)+26</f>
        <v>Total 2045</v>
      </c>
      <c r="D414" s="86">
        <f>SUM(D402:D413)</f>
        <v>40514.94</v>
      </c>
      <c r="E414" s="86">
        <f>SUM(E402:E413)</f>
        <v>255202.4631147224</v>
      </c>
      <c r="F414" s="87"/>
      <c r="G414" s="47"/>
      <c r="I414" s="86">
        <f>SUM(I402:I413)</f>
        <v>1283.6874852080275</v>
      </c>
      <c r="J414" s="46"/>
      <c r="K414" s="86">
        <f>SUM(K402:K413)</f>
        <v>0</v>
      </c>
      <c r="L414" s="46"/>
      <c r="M414" s="46"/>
      <c r="O414" s="46"/>
      <c r="P414" s="85" t="str">
        <f>"Total "&amp;YEAR($C$9)+26</f>
        <v>Total 2045</v>
      </c>
      <c r="Q414" s="86">
        <f>SUM(Q402:Q413)</f>
        <v>0</v>
      </c>
      <c r="R414" s="86">
        <f>SUM(R402:R413)</f>
        <v>0</v>
      </c>
      <c r="S414" s="87"/>
      <c r="T414" s="47"/>
      <c r="V414" s="46"/>
      <c r="W414" s="85" t="str">
        <f>"Total "&amp;YEAR($C$9)+26</f>
        <v>Total 2045</v>
      </c>
      <c r="X414" s="86" t="e">
        <f>SUM(X402:X413)</f>
        <v>#NAME?</v>
      </c>
      <c r="Y414" s="86">
        <f>SUM(Y402:Y413)</f>
        <v>0</v>
      </c>
      <c r="Z414" s="87"/>
      <c r="AA414" s="47"/>
      <c r="AC414" s="46"/>
      <c r="AD414" s="85" t="str">
        <f>"Total "&amp;YEAR($C$9)+26</f>
        <v>Total 2045</v>
      </c>
      <c r="AE414" s="86">
        <f>SUM(AE402:AE413)</f>
        <v>0</v>
      </c>
      <c r="AF414" s="86">
        <f>SUM(AF402:AF413)</f>
        <v>0</v>
      </c>
      <c r="AG414" s="87"/>
      <c r="AH414" s="47"/>
    </row>
    <row r="415" spans="2:34" x14ac:dyDescent="0.25">
      <c r="B415" s="46"/>
      <c r="C415" s="47"/>
      <c r="D415" s="80"/>
      <c r="E415" s="80"/>
      <c r="F415" s="80"/>
      <c r="G415" s="47"/>
      <c r="I415" s="46"/>
      <c r="J415" s="46"/>
      <c r="K415" s="46"/>
      <c r="L415" s="46"/>
      <c r="M415" s="46"/>
      <c r="O415" s="46"/>
      <c r="P415" s="47"/>
      <c r="Q415" s="80"/>
      <c r="R415" s="80"/>
      <c r="S415" s="80"/>
      <c r="T415" s="47"/>
      <c r="V415" s="46"/>
      <c r="W415" s="47"/>
      <c r="X415" s="80"/>
      <c r="Y415" s="80"/>
      <c r="Z415" s="80"/>
      <c r="AA415" s="47"/>
      <c r="AC415" s="46"/>
      <c r="AD415" s="47"/>
      <c r="AE415" s="80"/>
      <c r="AF415" s="80"/>
      <c r="AG415" s="80"/>
      <c r="AH415" s="47"/>
    </row>
    <row r="416" spans="2:34" x14ac:dyDescent="0.25">
      <c r="B416" s="46"/>
      <c r="C416" s="47"/>
      <c r="D416" s="75" t="s">
        <v>62</v>
      </c>
      <c r="E416" s="75" t="s">
        <v>63</v>
      </c>
      <c r="F416" s="75" t="s">
        <v>64</v>
      </c>
      <c r="G416" s="47"/>
      <c r="I416" s="46"/>
      <c r="J416" s="46"/>
      <c r="K416" s="46"/>
      <c r="L416" s="46"/>
      <c r="M416" s="46"/>
      <c r="O416" s="46"/>
      <c r="P416" s="47"/>
      <c r="Q416" s="75" t="s">
        <v>62</v>
      </c>
      <c r="R416" s="75" t="s">
        <v>63</v>
      </c>
      <c r="S416" s="75" t="s">
        <v>64</v>
      </c>
      <c r="T416" s="47"/>
      <c r="V416" s="46"/>
      <c r="W416" s="47"/>
      <c r="X416" s="75" t="s">
        <v>62</v>
      </c>
      <c r="Y416" s="75" t="s">
        <v>63</v>
      </c>
      <c r="Z416" s="75" t="s">
        <v>64</v>
      </c>
      <c r="AA416" s="47"/>
      <c r="AC416" s="46"/>
      <c r="AD416" s="47"/>
      <c r="AE416" s="75" t="s">
        <v>62</v>
      </c>
      <c r="AF416" s="75" t="s">
        <v>63</v>
      </c>
      <c r="AG416" s="75" t="s">
        <v>64</v>
      </c>
      <c r="AH416" s="47"/>
    </row>
    <row r="417" spans="2:34" x14ac:dyDescent="0.25">
      <c r="B417" s="72">
        <v>325</v>
      </c>
      <c r="C417" s="47" t="str">
        <f>IF(F413&gt;0.005,"January","")</f>
        <v>January</v>
      </c>
      <c r="D417" s="80">
        <f>IF(F413&gt;0,ROUND(F413*($F$6/12),2),0)</f>
        <v>2900.99</v>
      </c>
      <c r="E417" s="80">
        <f>IF(F413&lt;$D$8,F413,$D$8-D417)</f>
        <v>21742.126926226869</v>
      </c>
      <c r="F417" s="80">
        <f>IF(F413-E417&gt;0,F413-E417,0)</f>
        <v>827328.41590249795</v>
      </c>
      <c r="G417" s="47"/>
      <c r="I417" s="81">
        <f>L413*J417/12</f>
        <v>106.97395710066898</v>
      </c>
      <c r="J417" s="82">
        <f>$F$6/100</f>
        <v>4.0999999999999999E-4</v>
      </c>
      <c r="K417" s="81"/>
      <c r="L417" s="81">
        <f>MAX(L413+L413*($F$6/100)/12-I417-K417,0)</f>
        <v>3130945.0858732383</v>
      </c>
      <c r="M417" s="83">
        <f t="shared" ref="M417:M428" si="410">-PMT(($F$6/100)/12,$D$7-B417,L417,0,0)</f>
        <v>89510.599711397517</v>
      </c>
      <c r="N417" s="84"/>
      <c r="O417" s="72">
        <v>325</v>
      </c>
      <c r="P417" s="47" t="str">
        <f>IF(S413&gt;0.005,"January","")</f>
        <v/>
      </c>
      <c r="Q417" s="80">
        <f>IF(O417&lt;$S$7,"",IF(O417=$S$7,$Q$6*($S$6/12),S413*($S$6/12)))</f>
        <v>0</v>
      </c>
      <c r="R417" s="80">
        <f>IF(O417&lt;$S$7,"",$Q$8-Q417)</f>
        <v>0</v>
      </c>
      <c r="S417" s="80">
        <f>IF(O417&lt;$S$7,"",IF(O417=$S$7,$Q$6-R417,S413-R417))</f>
        <v>0</v>
      </c>
      <c r="T417" s="47"/>
      <c r="U417" s="84"/>
      <c r="V417" s="72">
        <v>325</v>
      </c>
      <c r="W417" s="47" t="e">
        <f>IF(Z413&gt;0.005,"January","")</f>
        <v>#NAME?</v>
      </c>
      <c r="X417" s="80" t="e">
        <f>IF(V417&lt;$Z$7,"",($Z$6/12)*$X$6)</f>
        <v>#NAME?</v>
      </c>
      <c r="Y417" s="80"/>
      <c r="Z417" s="80" t="e">
        <f>IF(V417&lt;$S$7,"",$X$6)</f>
        <v>#NAME?</v>
      </c>
      <c r="AA417" s="47"/>
      <c r="AB417" s="84"/>
      <c r="AC417" s="83"/>
      <c r="AD417" s="47" t="str">
        <f>IF(AG413&gt;0.005,"January","")</f>
        <v/>
      </c>
      <c r="AE417" s="80">
        <f>IF(AG413&gt;0,ROUND(AG413*($AG$6/1200),2),0)</f>
        <v>0</v>
      </c>
      <c r="AF417" s="80">
        <f>IF(AG413&lt;$AE$8,AG413,$AE$8-AE417)</f>
        <v>0</v>
      </c>
      <c r="AG417" s="80">
        <f>IF(AG413-AF417&gt;0,AG413-AF417,0)</f>
        <v>0</v>
      </c>
      <c r="AH417" s="47"/>
    </row>
    <row r="418" spans="2:34" x14ac:dyDescent="0.25">
      <c r="B418" s="72">
        <v>326</v>
      </c>
      <c r="C418" s="47" t="str">
        <f>IF(F417&gt;0.005,"February","")</f>
        <v>February</v>
      </c>
      <c r="D418" s="80">
        <f>IF(F417&gt;0,ROUND(F417*($F$6/12),2),0)</f>
        <v>2826.71</v>
      </c>
      <c r="E418" s="80">
        <f t="shared" ref="E418:E428" si="411">IF(F417&lt;$D$8,F417,$D$8-D418)</f>
        <v>21816.406926226871</v>
      </c>
      <c r="F418" s="80">
        <f t="shared" ref="F418:F428" si="412">IF(F417-E418&gt;0,F417-E418,0)</f>
        <v>805512.00897627103</v>
      </c>
      <c r="G418" s="47"/>
      <c r="I418" s="81">
        <f t="shared" ref="I418:I428" si="413">L417*J418/12</f>
        <v>106.97395710066898</v>
      </c>
      <c r="J418" s="82">
        <f t="shared" ref="J418:J428" si="414">$F$6/100</f>
        <v>4.0999999999999999E-4</v>
      </c>
      <c r="K418" s="81"/>
      <c r="L418" s="81">
        <f t="shared" ref="L418:L428" si="415">MAX(L417+L417*($F$6/100)/12-I418-K418,0)</f>
        <v>3130945.0858732383</v>
      </c>
      <c r="M418" s="83">
        <f t="shared" si="410"/>
        <v>92141.69064425875</v>
      </c>
      <c r="N418" s="84"/>
      <c r="O418" s="72">
        <v>326</v>
      </c>
      <c r="P418" s="47" t="str">
        <f>IF(S417&gt;0.005,"February","")</f>
        <v/>
      </c>
      <c r="Q418" s="80">
        <f>IF(O418&lt;$S$7,"",IF(O418=$S$7,$Q$6*($S$6/12),S417*($S$6/12)))</f>
        <v>0</v>
      </c>
      <c r="R418" s="80">
        <f t="shared" ref="R418:R428" si="416">IF(O418&lt;$S$7,"",$Q$8-Q418)</f>
        <v>0</v>
      </c>
      <c r="S418" s="80">
        <f t="shared" ref="S418:S428" si="417">IF(O418&lt;$S$7,"",IF(O418=$S$7,$Q$6-R418,S417-R418))</f>
        <v>0</v>
      </c>
      <c r="T418" s="47"/>
      <c r="U418" s="84"/>
      <c r="V418" s="72">
        <v>326</v>
      </c>
      <c r="W418" s="47" t="e">
        <f>IF(Z417&gt;0.005,"February","")</f>
        <v>#NAME?</v>
      </c>
      <c r="X418" s="80" t="e">
        <f t="shared" ref="X418:X428" si="418">IF(V418&lt;$Z$7,"",($Z$6/12)*$X$6)</f>
        <v>#NAME?</v>
      </c>
      <c r="Y418" s="80"/>
      <c r="Z418" s="80" t="e">
        <f t="shared" ref="Z418:Z428" si="419">IF(V418&lt;$S$7,"",$X$6)</f>
        <v>#NAME?</v>
      </c>
      <c r="AA418" s="47"/>
      <c r="AB418" s="84"/>
      <c r="AC418" s="83"/>
      <c r="AD418" s="47" t="str">
        <f>IF(AG417&gt;0.005,"February","")</f>
        <v/>
      </c>
      <c r="AE418" s="80">
        <f t="shared" ref="AE418:AE428" si="420">IF(AG417&gt;0,ROUND(AG417*($AG$6/1200),2),0)</f>
        <v>0</v>
      </c>
      <c r="AF418" s="80">
        <f t="shared" ref="AF418:AF428" si="421">IF(AG417&lt;$AE$8,AG417,$AE$8-AE418)</f>
        <v>0</v>
      </c>
      <c r="AG418" s="80">
        <f t="shared" ref="AG418:AG428" si="422">IF(AG417-AF418&gt;0,AG417-AF418,0)</f>
        <v>0</v>
      </c>
      <c r="AH418" s="47"/>
    </row>
    <row r="419" spans="2:34" x14ac:dyDescent="0.25">
      <c r="B419" s="72">
        <v>327</v>
      </c>
      <c r="C419" s="47" t="str">
        <f>IF(F418&gt;0.005,"March","")</f>
        <v>March</v>
      </c>
      <c r="D419" s="80">
        <f t="shared" ref="D419:D427" si="423">IF(F418&gt;0,ROUND(F418*($F$6/12),2),0)</f>
        <v>2752.17</v>
      </c>
      <c r="E419" s="80">
        <f t="shared" si="411"/>
        <v>21890.946926226869</v>
      </c>
      <c r="F419" s="80">
        <f t="shared" si="412"/>
        <v>783621.06205004419</v>
      </c>
      <c r="G419" s="47"/>
      <c r="I419" s="81">
        <f t="shared" si="413"/>
        <v>106.97395710066898</v>
      </c>
      <c r="J419" s="82">
        <f t="shared" si="414"/>
        <v>4.0999999999999999E-4</v>
      </c>
      <c r="K419" s="81"/>
      <c r="L419" s="81">
        <f t="shared" si="415"/>
        <v>3130945.0858732383</v>
      </c>
      <c r="M419" s="83">
        <f t="shared" si="410"/>
        <v>94932.241652116005</v>
      </c>
      <c r="N419" s="84"/>
      <c r="O419" s="72">
        <v>327</v>
      </c>
      <c r="P419" s="47" t="str">
        <f>IF(S418&gt;0.005,"March","")</f>
        <v/>
      </c>
      <c r="Q419" s="80">
        <f t="shared" ref="Q419:Q428" si="424">IF(O419&lt;$S$7,"",IF(O419=$S$7,$Q$6*($S$6/12),S418*($S$6/12)))</f>
        <v>0</v>
      </c>
      <c r="R419" s="80">
        <f t="shared" si="416"/>
        <v>0</v>
      </c>
      <c r="S419" s="80">
        <f t="shared" si="417"/>
        <v>0</v>
      </c>
      <c r="T419" s="47"/>
      <c r="U419" s="84"/>
      <c r="V419" s="72">
        <v>327</v>
      </c>
      <c r="W419" s="47" t="e">
        <f>IF(Z418&gt;0.005,"March","")</f>
        <v>#NAME?</v>
      </c>
      <c r="X419" s="80" t="e">
        <f t="shared" si="418"/>
        <v>#NAME?</v>
      </c>
      <c r="Y419" s="80"/>
      <c r="Z419" s="80" t="e">
        <f t="shared" si="419"/>
        <v>#NAME?</v>
      </c>
      <c r="AA419" s="47"/>
      <c r="AB419" s="84"/>
      <c r="AC419" s="83"/>
      <c r="AD419" s="47" t="str">
        <f>IF(AG418&gt;0.005,"March","")</f>
        <v/>
      </c>
      <c r="AE419" s="80">
        <f t="shared" si="420"/>
        <v>0</v>
      </c>
      <c r="AF419" s="80">
        <f t="shared" si="421"/>
        <v>0</v>
      </c>
      <c r="AG419" s="80">
        <f t="shared" si="422"/>
        <v>0</v>
      </c>
      <c r="AH419" s="47"/>
    </row>
    <row r="420" spans="2:34" x14ac:dyDescent="0.25">
      <c r="B420" s="72">
        <v>328</v>
      </c>
      <c r="C420" s="47" t="str">
        <f>IF(F419&gt;0.005,"April","")</f>
        <v>April</v>
      </c>
      <c r="D420" s="80">
        <f t="shared" si="423"/>
        <v>2677.37</v>
      </c>
      <c r="E420" s="80">
        <f t="shared" si="411"/>
        <v>21965.746926226871</v>
      </c>
      <c r="F420" s="80">
        <f t="shared" si="412"/>
        <v>761655.3151238173</v>
      </c>
      <c r="G420" s="47"/>
      <c r="I420" s="81">
        <f t="shared" si="413"/>
        <v>106.97395710066898</v>
      </c>
      <c r="J420" s="82">
        <f t="shared" si="414"/>
        <v>4.0999999999999999E-4</v>
      </c>
      <c r="K420" s="81"/>
      <c r="L420" s="81">
        <f t="shared" si="415"/>
        <v>3130945.0858732383</v>
      </c>
      <c r="M420" s="83">
        <f t="shared" si="410"/>
        <v>97897.202117000197</v>
      </c>
      <c r="N420" s="84"/>
      <c r="O420" s="72">
        <v>328</v>
      </c>
      <c r="P420" s="47" t="str">
        <f>IF(S419&gt;0.005,"April","")</f>
        <v/>
      </c>
      <c r="Q420" s="80">
        <f t="shared" si="424"/>
        <v>0</v>
      </c>
      <c r="R420" s="80">
        <f t="shared" si="416"/>
        <v>0</v>
      </c>
      <c r="S420" s="80">
        <f t="shared" si="417"/>
        <v>0</v>
      </c>
      <c r="T420" s="47"/>
      <c r="U420" s="84"/>
      <c r="V420" s="72">
        <v>328</v>
      </c>
      <c r="W420" s="47" t="e">
        <f>IF(Z419&gt;0.005,"April","")</f>
        <v>#NAME?</v>
      </c>
      <c r="X420" s="80" t="e">
        <f t="shared" si="418"/>
        <v>#NAME?</v>
      </c>
      <c r="Y420" s="80"/>
      <c r="Z420" s="80" t="e">
        <f t="shared" si="419"/>
        <v>#NAME?</v>
      </c>
      <c r="AA420" s="47"/>
      <c r="AB420" s="84"/>
      <c r="AC420" s="83"/>
      <c r="AD420" s="47" t="str">
        <f>IF(AG419&gt;0.005,"April","")</f>
        <v/>
      </c>
      <c r="AE420" s="80">
        <f t="shared" si="420"/>
        <v>0</v>
      </c>
      <c r="AF420" s="80">
        <f t="shared" si="421"/>
        <v>0</v>
      </c>
      <c r="AG420" s="80">
        <f t="shared" si="422"/>
        <v>0</v>
      </c>
      <c r="AH420" s="47"/>
    </row>
    <row r="421" spans="2:34" x14ac:dyDescent="0.25">
      <c r="B421" s="72">
        <v>329</v>
      </c>
      <c r="C421" s="47" t="str">
        <f>IF(F420&gt;0.005,"May","")</f>
        <v>May</v>
      </c>
      <c r="D421" s="80">
        <f t="shared" si="423"/>
        <v>2602.3200000000002</v>
      </c>
      <c r="E421" s="80">
        <f t="shared" si="411"/>
        <v>22040.796926226871</v>
      </c>
      <c r="F421" s="80">
        <f t="shared" si="412"/>
        <v>739614.51819759049</v>
      </c>
      <c r="G421" s="47"/>
      <c r="I421" s="81">
        <f t="shared" si="413"/>
        <v>106.97395710066898</v>
      </c>
      <c r="J421" s="82">
        <f t="shared" si="414"/>
        <v>4.0999999999999999E-4</v>
      </c>
      <c r="K421" s="81"/>
      <c r="L421" s="81">
        <f t="shared" si="415"/>
        <v>3130945.0858732383</v>
      </c>
      <c r="M421" s="83">
        <f t="shared" si="410"/>
        <v>101053.4503734623</v>
      </c>
      <c r="N421" s="84"/>
      <c r="O421" s="72">
        <v>329</v>
      </c>
      <c r="P421" s="47" t="str">
        <f>IF(S420&gt;0.005,"May","")</f>
        <v/>
      </c>
      <c r="Q421" s="80">
        <f t="shared" si="424"/>
        <v>0</v>
      </c>
      <c r="R421" s="80">
        <f t="shared" si="416"/>
        <v>0</v>
      </c>
      <c r="S421" s="80">
        <f t="shared" si="417"/>
        <v>0</v>
      </c>
      <c r="T421" s="47"/>
      <c r="U421" s="84"/>
      <c r="V421" s="72">
        <v>329</v>
      </c>
      <c r="W421" s="47" t="e">
        <f>IF(Z420&gt;0.005,"May","")</f>
        <v>#NAME?</v>
      </c>
      <c r="X421" s="80" t="e">
        <f t="shared" si="418"/>
        <v>#NAME?</v>
      </c>
      <c r="Y421" s="80"/>
      <c r="Z421" s="80" t="e">
        <f t="shared" si="419"/>
        <v>#NAME?</v>
      </c>
      <c r="AA421" s="47"/>
      <c r="AB421" s="84"/>
      <c r="AC421" s="83"/>
      <c r="AD421" s="47" t="str">
        <f>IF(AG420&gt;0.005,"May","")</f>
        <v/>
      </c>
      <c r="AE421" s="80">
        <f t="shared" si="420"/>
        <v>0</v>
      </c>
      <c r="AF421" s="80">
        <f t="shared" si="421"/>
        <v>0</v>
      </c>
      <c r="AG421" s="80">
        <f t="shared" si="422"/>
        <v>0</v>
      </c>
      <c r="AH421" s="47"/>
    </row>
    <row r="422" spans="2:34" x14ac:dyDescent="0.25">
      <c r="B422" s="72">
        <v>330</v>
      </c>
      <c r="C422" s="47" t="str">
        <f>IF(F421&gt;0.005,"June","")</f>
        <v>June</v>
      </c>
      <c r="D422" s="80">
        <f t="shared" si="423"/>
        <v>2527.02</v>
      </c>
      <c r="E422" s="80">
        <f t="shared" si="411"/>
        <v>22116.09692622687</v>
      </c>
      <c r="F422" s="80">
        <f t="shared" si="412"/>
        <v>717498.42127136362</v>
      </c>
      <c r="G422" s="47"/>
      <c r="I422" s="81">
        <f t="shared" si="413"/>
        <v>106.97395710066898</v>
      </c>
      <c r="J422" s="82">
        <f t="shared" si="414"/>
        <v>4.0999999999999999E-4</v>
      </c>
      <c r="K422" s="81"/>
      <c r="L422" s="81">
        <f t="shared" si="415"/>
        <v>3130945.0858732383</v>
      </c>
      <c r="M422" s="83">
        <f t="shared" si="410"/>
        <v>104420.11520066008</v>
      </c>
      <c r="N422" s="84"/>
      <c r="O422" s="72">
        <v>330</v>
      </c>
      <c r="P422" s="47" t="str">
        <f>IF(S421&gt;0.005,"June","")</f>
        <v/>
      </c>
      <c r="Q422" s="80">
        <f t="shared" si="424"/>
        <v>0</v>
      </c>
      <c r="R422" s="80">
        <f t="shared" si="416"/>
        <v>0</v>
      </c>
      <c r="S422" s="80">
        <f t="shared" si="417"/>
        <v>0</v>
      </c>
      <c r="T422" s="47"/>
      <c r="U422" s="84"/>
      <c r="V422" s="72">
        <v>330</v>
      </c>
      <c r="W422" s="47" t="e">
        <f>IF(Z421&gt;0.005,"June","")</f>
        <v>#NAME?</v>
      </c>
      <c r="X422" s="80" t="e">
        <f t="shared" si="418"/>
        <v>#NAME?</v>
      </c>
      <c r="Y422" s="80"/>
      <c r="Z422" s="80" t="e">
        <f t="shared" si="419"/>
        <v>#NAME?</v>
      </c>
      <c r="AA422" s="47"/>
      <c r="AB422" s="84"/>
      <c r="AC422" s="83"/>
      <c r="AD422" s="47" t="str">
        <f>IF(AG421&gt;0.005,"June","")</f>
        <v/>
      </c>
      <c r="AE422" s="80">
        <f t="shared" si="420"/>
        <v>0</v>
      </c>
      <c r="AF422" s="80">
        <f t="shared" si="421"/>
        <v>0</v>
      </c>
      <c r="AG422" s="80">
        <f t="shared" si="422"/>
        <v>0</v>
      </c>
      <c r="AH422" s="47"/>
    </row>
    <row r="423" spans="2:34" x14ac:dyDescent="0.25">
      <c r="B423" s="72">
        <v>331</v>
      </c>
      <c r="C423" s="47" t="str">
        <f>IF(F422&gt;0.005,"July","")</f>
        <v>July</v>
      </c>
      <c r="D423" s="80">
        <f t="shared" si="423"/>
        <v>2451.4499999999998</v>
      </c>
      <c r="E423" s="80">
        <f t="shared" si="411"/>
        <v>22191.66692622687</v>
      </c>
      <c r="F423" s="80">
        <f t="shared" si="412"/>
        <v>695306.75434513669</v>
      </c>
      <c r="G423" s="47"/>
      <c r="I423" s="81">
        <f t="shared" si="413"/>
        <v>106.97395710066898</v>
      </c>
      <c r="J423" s="82">
        <f t="shared" si="414"/>
        <v>4.0999999999999999E-4</v>
      </c>
      <c r="K423" s="81"/>
      <c r="L423" s="81">
        <f t="shared" si="415"/>
        <v>3130945.0858732383</v>
      </c>
      <c r="M423" s="83">
        <f t="shared" si="410"/>
        <v>108018.96383004898</v>
      </c>
      <c r="N423" s="84"/>
      <c r="O423" s="72">
        <v>331</v>
      </c>
      <c r="P423" s="47" t="str">
        <f>IF(S422&gt;0.005,"July","")</f>
        <v/>
      </c>
      <c r="Q423" s="80">
        <f t="shared" si="424"/>
        <v>0</v>
      </c>
      <c r="R423" s="80">
        <f t="shared" si="416"/>
        <v>0</v>
      </c>
      <c r="S423" s="80">
        <f t="shared" si="417"/>
        <v>0</v>
      </c>
      <c r="T423" s="47"/>
      <c r="U423" s="84"/>
      <c r="V423" s="72">
        <v>331</v>
      </c>
      <c r="W423" s="47" t="e">
        <f>IF(Z422&gt;0.005,"July","")</f>
        <v>#NAME?</v>
      </c>
      <c r="X423" s="80" t="e">
        <f t="shared" si="418"/>
        <v>#NAME?</v>
      </c>
      <c r="Y423" s="80"/>
      <c r="Z423" s="80" t="e">
        <f t="shared" si="419"/>
        <v>#NAME?</v>
      </c>
      <c r="AA423" s="47"/>
      <c r="AB423" s="84"/>
      <c r="AC423" s="83"/>
      <c r="AD423" s="47" t="str">
        <f>IF(AG422&gt;0.005,"July","")</f>
        <v/>
      </c>
      <c r="AE423" s="80">
        <f t="shared" si="420"/>
        <v>0</v>
      </c>
      <c r="AF423" s="80">
        <f t="shared" si="421"/>
        <v>0</v>
      </c>
      <c r="AG423" s="80">
        <f t="shared" si="422"/>
        <v>0</v>
      </c>
      <c r="AH423" s="47"/>
    </row>
    <row r="424" spans="2:34" x14ac:dyDescent="0.25">
      <c r="B424" s="72">
        <v>332</v>
      </c>
      <c r="C424" s="47" t="str">
        <f>IF(F423&gt;0.005,"August","")</f>
        <v>August</v>
      </c>
      <c r="D424" s="80">
        <f t="shared" si="423"/>
        <v>2375.63</v>
      </c>
      <c r="E424" s="80">
        <f t="shared" si="411"/>
        <v>22267.486926226869</v>
      </c>
      <c r="F424" s="80">
        <f t="shared" si="412"/>
        <v>673039.26741890982</v>
      </c>
      <c r="G424" s="47"/>
      <c r="I424" s="81">
        <f t="shared" si="413"/>
        <v>106.97395710066898</v>
      </c>
      <c r="J424" s="82">
        <f t="shared" si="414"/>
        <v>4.0999999999999999E-4</v>
      </c>
      <c r="K424" s="81"/>
      <c r="L424" s="81">
        <f t="shared" si="415"/>
        <v>3130945.0858732383</v>
      </c>
      <c r="M424" s="83">
        <f t="shared" si="410"/>
        <v>111874.87309757805</v>
      </c>
      <c r="N424" s="84"/>
      <c r="O424" s="72">
        <v>332</v>
      </c>
      <c r="P424" s="47" t="str">
        <f>IF(S423&gt;0.005,"August","")</f>
        <v/>
      </c>
      <c r="Q424" s="80">
        <f t="shared" si="424"/>
        <v>0</v>
      </c>
      <c r="R424" s="80">
        <f t="shared" si="416"/>
        <v>0</v>
      </c>
      <c r="S424" s="80">
        <f t="shared" si="417"/>
        <v>0</v>
      </c>
      <c r="T424" s="47"/>
      <c r="U424" s="84"/>
      <c r="V424" s="72">
        <v>332</v>
      </c>
      <c r="W424" s="47" t="e">
        <f>IF(Z423&gt;0.005,"August","")</f>
        <v>#NAME?</v>
      </c>
      <c r="X424" s="80" t="e">
        <f t="shared" si="418"/>
        <v>#NAME?</v>
      </c>
      <c r="Y424" s="80"/>
      <c r="Z424" s="80" t="e">
        <f t="shared" si="419"/>
        <v>#NAME?</v>
      </c>
      <c r="AA424" s="47"/>
      <c r="AB424" s="84"/>
      <c r="AC424" s="83"/>
      <c r="AD424" s="47" t="str">
        <f>IF(AG423&gt;0.005,"August","")</f>
        <v/>
      </c>
      <c r="AE424" s="80">
        <f t="shared" si="420"/>
        <v>0</v>
      </c>
      <c r="AF424" s="80">
        <f t="shared" si="421"/>
        <v>0</v>
      </c>
      <c r="AG424" s="80">
        <f t="shared" si="422"/>
        <v>0</v>
      </c>
      <c r="AH424" s="47"/>
    </row>
    <row r="425" spans="2:34" x14ac:dyDescent="0.25">
      <c r="B425" s="72">
        <v>333</v>
      </c>
      <c r="C425" s="47" t="str">
        <f>IF(F424&gt;0.005,"September","")</f>
        <v>September</v>
      </c>
      <c r="D425" s="80">
        <f t="shared" si="423"/>
        <v>2299.5500000000002</v>
      </c>
      <c r="E425" s="80">
        <f t="shared" si="411"/>
        <v>22343.566926226871</v>
      </c>
      <c r="F425" s="80">
        <f t="shared" si="412"/>
        <v>650695.70049268298</v>
      </c>
      <c r="G425" s="47"/>
      <c r="I425" s="81">
        <f t="shared" si="413"/>
        <v>106.97395710066898</v>
      </c>
      <c r="J425" s="82">
        <f t="shared" si="414"/>
        <v>4.0999999999999999E-4</v>
      </c>
      <c r="K425" s="81"/>
      <c r="L425" s="81">
        <f t="shared" si="415"/>
        <v>3130945.0858732383</v>
      </c>
      <c r="M425" s="83">
        <f t="shared" si="410"/>
        <v>116016.40529637397</v>
      </c>
      <c r="N425" s="84"/>
      <c r="O425" s="72">
        <v>333</v>
      </c>
      <c r="P425" s="47" t="str">
        <f>IF(S424&gt;0.005,"September","")</f>
        <v/>
      </c>
      <c r="Q425" s="80">
        <f t="shared" si="424"/>
        <v>0</v>
      </c>
      <c r="R425" s="80">
        <f t="shared" si="416"/>
        <v>0</v>
      </c>
      <c r="S425" s="80">
        <f t="shared" si="417"/>
        <v>0</v>
      </c>
      <c r="T425" s="47"/>
      <c r="U425" s="84"/>
      <c r="V425" s="72">
        <v>333</v>
      </c>
      <c r="W425" s="47" t="e">
        <f>IF(Z424&gt;0.005,"September","")</f>
        <v>#NAME?</v>
      </c>
      <c r="X425" s="80" t="e">
        <f t="shared" si="418"/>
        <v>#NAME?</v>
      </c>
      <c r="Y425" s="80"/>
      <c r="Z425" s="80" t="e">
        <f t="shared" si="419"/>
        <v>#NAME?</v>
      </c>
      <c r="AA425" s="47"/>
      <c r="AB425" s="84"/>
      <c r="AC425" s="83"/>
      <c r="AD425" s="47" t="str">
        <f>IF(AG424&gt;0.005,"September","")</f>
        <v/>
      </c>
      <c r="AE425" s="80">
        <f t="shared" si="420"/>
        <v>0</v>
      </c>
      <c r="AF425" s="80">
        <f t="shared" si="421"/>
        <v>0</v>
      </c>
      <c r="AG425" s="80">
        <f t="shared" si="422"/>
        <v>0</v>
      </c>
      <c r="AH425" s="47"/>
    </row>
    <row r="426" spans="2:34" x14ac:dyDescent="0.25">
      <c r="B426" s="72">
        <v>334</v>
      </c>
      <c r="C426" s="47" t="str">
        <f>IF(F425&gt;0.005,"October","")</f>
        <v>October</v>
      </c>
      <c r="D426" s="80">
        <f t="shared" si="423"/>
        <v>2223.21</v>
      </c>
      <c r="E426" s="80">
        <f t="shared" si="411"/>
        <v>22419.906926226871</v>
      </c>
      <c r="F426" s="80">
        <f t="shared" si="412"/>
        <v>628275.79356645606</v>
      </c>
      <c r="G426" s="47"/>
      <c r="I426" s="81">
        <f t="shared" si="413"/>
        <v>106.97395710066898</v>
      </c>
      <c r="J426" s="82">
        <f t="shared" si="414"/>
        <v>4.0999999999999999E-4</v>
      </c>
      <c r="K426" s="81"/>
      <c r="L426" s="81">
        <f t="shared" si="415"/>
        <v>3130945.0858732383</v>
      </c>
      <c r="M426" s="83">
        <f t="shared" si="410"/>
        <v>120476.51691850598</v>
      </c>
      <c r="N426" s="84"/>
      <c r="O426" s="72">
        <v>334</v>
      </c>
      <c r="P426" s="47" t="str">
        <f>IF(S425&gt;0.005,"October","")</f>
        <v/>
      </c>
      <c r="Q426" s="80">
        <f t="shared" si="424"/>
        <v>0</v>
      </c>
      <c r="R426" s="80">
        <f t="shared" si="416"/>
        <v>0</v>
      </c>
      <c r="S426" s="80">
        <f t="shared" si="417"/>
        <v>0</v>
      </c>
      <c r="T426" s="47"/>
      <c r="U426" s="84"/>
      <c r="V426" s="72">
        <v>334</v>
      </c>
      <c r="W426" s="47" t="e">
        <f>IF(Z425&gt;0.005,"October","")</f>
        <v>#NAME?</v>
      </c>
      <c r="X426" s="80" t="e">
        <f t="shared" si="418"/>
        <v>#NAME?</v>
      </c>
      <c r="Y426" s="80"/>
      <c r="Z426" s="80" t="e">
        <f t="shared" si="419"/>
        <v>#NAME?</v>
      </c>
      <c r="AA426" s="47"/>
      <c r="AB426" s="84"/>
      <c r="AC426" s="83"/>
      <c r="AD426" s="47" t="str">
        <f>IF(AG425&gt;0.005,"October","")</f>
        <v/>
      </c>
      <c r="AE426" s="80">
        <f t="shared" si="420"/>
        <v>0</v>
      </c>
      <c r="AF426" s="80">
        <f t="shared" si="421"/>
        <v>0</v>
      </c>
      <c r="AG426" s="80">
        <f t="shared" si="422"/>
        <v>0</v>
      </c>
      <c r="AH426" s="47"/>
    </row>
    <row r="427" spans="2:34" x14ac:dyDescent="0.25">
      <c r="B427" s="72">
        <v>335</v>
      </c>
      <c r="C427" s="47" t="str">
        <f>IF(F426&gt;0.005,"November","")</f>
        <v>November</v>
      </c>
      <c r="D427" s="80">
        <f t="shared" si="423"/>
        <v>2146.61</v>
      </c>
      <c r="E427" s="80">
        <f t="shared" si="411"/>
        <v>22496.50692622687</v>
      </c>
      <c r="F427" s="80">
        <f t="shared" si="412"/>
        <v>605779.28664022917</v>
      </c>
      <c r="G427" s="47"/>
      <c r="I427" s="81">
        <f t="shared" si="413"/>
        <v>106.97395710066898</v>
      </c>
      <c r="J427" s="82">
        <f t="shared" si="414"/>
        <v>4.0999999999999999E-4</v>
      </c>
      <c r="K427" s="81"/>
      <c r="L427" s="81">
        <f t="shared" si="415"/>
        <v>3130945.0858732383</v>
      </c>
      <c r="M427" s="83">
        <f t="shared" si="410"/>
        <v>125293.43749477444</v>
      </c>
      <c r="N427" s="84"/>
      <c r="O427" s="72">
        <v>335</v>
      </c>
      <c r="P427" s="47" t="str">
        <f>IF(S426&gt;0.005,"November","")</f>
        <v/>
      </c>
      <c r="Q427" s="80">
        <f t="shared" si="424"/>
        <v>0</v>
      </c>
      <c r="R427" s="80">
        <f t="shared" si="416"/>
        <v>0</v>
      </c>
      <c r="S427" s="80">
        <f t="shared" si="417"/>
        <v>0</v>
      </c>
      <c r="T427" s="47"/>
      <c r="U427" s="84"/>
      <c r="V427" s="72">
        <v>335</v>
      </c>
      <c r="W427" s="47" t="e">
        <f>IF(Z426&gt;0.005,"November","")</f>
        <v>#NAME?</v>
      </c>
      <c r="X427" s="80" t="e">
        <f t="shared" si="418"/>
        <v>#NAME?</v>
      </c>
      <c r="Y427" s="80"/>
      <c r="Z427" s="80" t="e">
        <f t="shared" si="419"/>
        <v>#NAME?</v>
      </c>
      <c r="AA427" s="47"/>
      <c r="AB427" s="84"/>
      <c r="AC427" s="83"/>
      <c r="AD427" s="47" t="str">
        <f>IF(AG426&gt;0.005,"November","")</f>
        <v/>
      </c>
      <c r="AE427" s="80">
        <f t="shared" si="420"/>
        <v>0</v>
      </c>
      <c r="AF427" s="80">
        <f t="shared" si="421"/>
        <v>0</v>
      </c>
      <c r="AG427" s="80">
        <f t="shared" si="422"/>
        <v>0</v>
      </c>
      <c r="AH427" s="47"/>
    </row>
    <row r="428" spans="2:34" x14ac:dyDescent="0.25">
      <c r="B428" s="72">
        <v>336</v>
      </c>
      <c r="C428" s="47" t="str">
        <f>IF(F427&gt;0.005,"December","")</f>
        <v>December</v>
      </c>
      <c r="D428" s="80">
        <f>IF(F427&gt;0,ROUND(F427*($F$6/12),2),0)</f>
        <v>2069.75</v>
      </c>
      <c r="E428" s="80">
        <f t="shared" si="411"/>
        <v>22573.36692622687</v>
      </c>
      <c r="F428" s="80">
        <f t="shared" si="412"/>
        <v>583205.91971400229</v>
      </c>
      <c r="G428" s="47"/>
      <c r="I428" s="81">
        <f t="shared" si="413"/>
        <v>106.97395710066898</v>
      </c>
      <c r="J428" s="82">
        <f t="shared" si="414"/>
        <v>4.0999999999999999E-4</v>
      </c>
      <c r="K428" s="81"/>
      <c r="L428" s="81">
        <f t="shared" si="415"/>
        <v>3130945.0858732383</v>
      </c>
      <c r="M428" s="83">
        <f t="shared" si="410"/>
        <v>130511.7681444464</v>
      </c>
      <c r="N428" s="84"/>
      <c r="O428" s="72">
        <v>336</v>
      </c>
      <c r="P428" s="47" t="str">
        <f>IF(S427&gt;0.005,"December","")</f>
        <v/>
      </c>
      <c r="Q428" s="80">
        <f t="shared" si="424"/>
        <v>0</v>
      </c>
      <c r="R428" s="80">
        <f t="shared" si="416"/>
        <v>0</v>
      </c>
      <c r="S428" s="80">
        <f t="shared" si="417"/>
        <v>0</v>
      </c>
      <c r="T428" s="47"/>
      <c r="U428" s="84"/>
      <c r="V428" s="72">
        <v>336</v>
      </c>
      <c r="W428" s="47" t="e">
        <f>IF(Z427&gt;0.005,"December","")</f>
        <v>#NAME?</v>
      </c>
      <c r="X428" s="80" t="e">
        <f t="shared" si="418"/>
        <v>#NAME?</v>
      </c>
      <c r="Y428" s="80"/>
      <c r="Z428" s="80" t="e">
        <f t="shared" si="419"/>
        <v>#NAME?</v>
      </c>
      <c r="AA428" s="47"/>
      <c r="AB428" s="84"/>
      <c r="AC428" s="83"/>
      <c r="AD428" s="47" t="str">
        <f>IF(AG427&gt;0.005,"December","")</f>
        <v/>
      </c>
      <c r="AE428" s="80">
        <f t="shared" si="420"/>
        <v>0</v>
      </c>
      <c r="AF428" s="80">
        <f t="shared" si="421"/>
        <v>0</v>
      </c>
      <c r="AG428" s="80">
        <f t="shared" si="422"/>
        <v>0</v>
      </c>
      <c r="AH428" s="47"/>
    </row>
    <row r="429" spans="2:34" x14ac:dyDescent="0.25">
      <c r="B429" s="46"/>
      <c r="C429" s="85" t="str">
        <f>"Total "&amp;YEAR($C$9)+27</f>
        <v>Total 2046</v>
      </c>
      <c r="D429" s="86">
        <f>SUM(D417:D428)</f>
        <v>29852.78</v>
      </c>
      <c r="E429" s="86">
        <f>SUM(E417:E428)</f>
        <v>265864.62311472243</v>
      </c>
      <c r="F429" s="87"/>
      <c r="G429" s="47"/>
      <c r="I429" s="86">
        <f>SUM(I417:I428)</f>
        <v>1283.6874852080275</v>
      </c>
      <c r="J429" s="46"/>
      <c r="K429" s="86">
        <f>SUM(K417:K428)</f>
        <v>0</v>
      </c>
      <c r="L429" s="46"/>
      <c r="M429" s="46"/>
      <c r="O429" s="46"/>
      <c r="P429" s="85" t="str">
        <f>"Total "&amp;YEAR($C$9)+27</f>
        <v>Total 2046</v>
      </c>
      <c r="Q429" s="86">
        <f>SUM(Q417:Q428)</f>
        <v>0</v>
      </c>
      <c r="R429" s="86">
        <f>SUM(R417:R428)</f>
        <v>0</v>
      </c>
      <c r="S429" s="87"/>
      <c r="T429" s="47"/>
      <c r="V429" s="46"/>
      <c r="W429" s="85" t="str">
        <f>"Total "&amp;YEAR($C$9)+27</f>
        <v>Total 2046</v>
      </c>
      <c r="X429" s="86" t="e">
        <f>SUM(X417:X428)</f>
        <v>#NAME?</v>
      </c>
      <c r="Y429" s="86">
        <f>SUM(Y417:Y428)</f>
        <v>0</v>
      </c>
      <c r="Z429" s="87"/>
      <c r="AA429" s="47"/>
      <c r="AC429" s="46"/>
      <c r="AD429" s="85" t="str">
        <f>"Total "&amp;YEAR($C$9)+27</f>
        <v>Total 2046</v>
      </c>
      <c r="AE429" s="86">
        <f>SUM(AE417:AE428)</f>
        <v>0</v>
      </c>
      <c r="AF429" s="86">
        <f>SUM(AF417:AF428)</f>
        <v>0</v>
      </c>
      <c r="AG429" s="87"/>
      <c r="AH429" s="47"/>
    </row>
    <row r="430" spans="2:34" x14ac:dyDescent="0.25">
      <c r="B430" s="46"/>
      <c r="C430" s="47"/>
      <c r="D430" s="80"/>
      <c r="E430" s="80"/>
      <c r="F430" s="80"/>
      <c r="G430" s="47"/>
      <c r="I430" s="46"/>
      <c r="J430" s="46"/>
      <c r="K430" s="46"/>
      <c r="L430" s="46"/>
      <c r="M430" s="46"/>
      <c r="O430" s="46"/>
      <c r="P430" s="47"/>
      <c r="Q430" s="80"/>
      <c r="R430" s="80"/>
      <c r="S430" s="80"/>
      <c r="T430" s="47"/>
      <c r="V430" s="46"/>
      <c r="W430" s="47"/>
      <c r="X430" s="80"/>
      <c r="Y430" s="80"/>
      <c r="Z430" s="80"/>
      <c r="AA430" s="47"/>
      <c r="AC430" s="46"/>
      <c r="AD430" s="47"/>
      <c r="AE430" s="80"/>
      <c r="AF430" s="80"/>
      <c r="AG430" s="80"/>
      <c r="AH430" s="47"/>
    </row>
    <row r="431" spans="2:34" x14ac:dyDescent="0.25">
      <c r="B431" s="46"/>
      <c r="C431" s="47"/>
      <c r="D431" s="75" t="s">
        <v>62</v>
      </c>
      <c r="E431" s="75" t="s">
        <v>63</v>
      </c>
      <c r="F431" s="75" t="s">
        <v>64</v>
      </c>
      <c r="G431" s="47"/>
      <c r="I431" s="46"/>
      <c r="J431" s="46"/>
      <c r="K431" s="46"/>
      <c r="L431" s="46"/>
      <c r="M431" s="46"/>
      <c r="O431" s="46"/>
      <c r="P431" s="47"/>
      <c r="Q431" s="75" t="s">
        <v>62</v>
      </c>
      <c r="R431" s="75" t="s">
        <v>63</v>
      </c>
      <c r="S431" s="75" t="s">
        <v>64</v>
      </c>
      <c r="T431" s="47"/>
      <c r="V431" s="46"/>
      <c r="W431" s="47"/>
      <c r="X431" s="75" t="s">
        <v>62</v>
      </c>
      <c r="Y431" s="75" t="s">
        <v>63</v>
      </c>
      <c r="Z431" s="75" t="s">
        <v>64</v>
      </c>
      <c r="AA431" s="47"/>
      <c r="AC431" s="46"/>
      <c r="AD431" s="47"/>
      <c r="AE431" s="75" t="s">
        <v>62</v>
      </c>
      <c r="AF431" s="75" t="s">
        <v>63</v>
      </c>
      <c r="AG431" s="75" t="s">
        <v>64</v>
      </c>
      <c r="AH431" s="47"/>
    </row>
    <row r="432" spans="2:34" x14ac:dyDescent="0.25">
      <c r="B432" s="72">
        <v>337</v>
      </c>
      <c r="C432" s="47" t="str">
        <f>IF(F428&gt;0.005,"January","")</f>
        <v>January</v>
      </c>
      <c r="D432" s="80">
        <f>IF(F428&gt;0,ROUND(F428*($F$6/12),2),0)</f>
        <v>1992.62</v>
      </c>
      <c r="E432" s="80">
        <f>IF(F428&lt;$D$8,F428,$D$8-D432)</f>
        <v>22650.496926226871</v>
      </c>
      <c r="F432" s="80">
        <f>IF(F428-E432&gt;0,F428-E432,0)</f>
        <v>560555.4227877754</v>
      </c>
      <c r="G432" s="47"/>
      <c r="I432" s="81">
        <f>L428*J432/12</f>
        <v>106.97395710066898</v>
      </c>
      <c r="J432" s="82">
        <f>$F$6/100</f>
        <v>4.0999999999999999E-4</v>
      </c>
      <c r="K432" s="81"/>
      <c r="L432" s="81">
        <f>MAX(L428+L428*($F$6/100)/12-I432-K432,0)</f>
        <v>3130945.0858732383</v>
      </c>
      <c r="M432" s="83">
        <f t="shared" ref="M432:M443" si="425">-PMT(($F$6/100)/12,$D$7-B432,L432,0,0)</f>
        <v>136183.86670318319</v>
      </c>
      <c r="N432" s="84"/>
      <c r="O432" s="72">
        <v>337</v>
      </c>
      <c r="P432" s="47" t="str">
        <f>IF(S428&gt;0.005,"January","")</f>
        <v/>
      </c>
      <c r="Q432" s="80">
        <f>IF(O432&lt;$S$7,"",IF(O432=$S$7,$Q$6*($S$6/12),S428*($S$6/12)))</f>
        <v>0</v>
      </c>
      <c r="R432" s="80">
        <f>IF(O432&lt;$S$7,"",$Q$8-Q432)</f>
        <v>0</v>
      </c>
      <c r="S432" s="80">
        <f>IF(O432&lt;$S$7,"",IF(O432=$S$7,$Q$6-R432,S428-R432))</f>
        <v>0</v>
      </c>
      <c r="T432" s="47"/>
      <c r="U432" s="84"/>
      <c r="V432" s="72">
        <v>337</v>
      </c>
      <c r="W432" s="47" t="e">
        <f>IF(Z428&gt;0.005,"January","")</f>
        <v>#NAME?</v>
      </c>
      <c r="X432" s="80" t="e">
        <f>IF(V432&lt;$Z$7,"",($Z$6/12)*$X$6)</f>
        <v>#NAME?</v>
      </c>
      <c r="Y432" s="80"/>
      <c r="Z432" s="80" t="e">
        <f>IF(V432&lt;$S$7,"",$X$6)</f>
        <v>#NAME?</v>
      </c>
      <c r="AA432" s="47"/>
      <c r="AB432" s="84"/>
      <c r="AC432" s="83"/>
      <c r="AD432" s="47" t="str">
        <f>IF(AG428&gt;0.005,"January","")</f>
        <v/>
      </c>
      <c r="AE432" s="80">
        <f>IF(AG428&gt;0,ROUND(AG428*($AG$6/1200),2),0)</f>
        <v>0</v>
      </c>
      <c r="AF432" s="80">
        <f>IF(AG428&lt;$AE$8,AG428,$AE$8-AE432)</f>
        <v>0</v>
      </c>
      <c r="AG432" s="80">
        <f>IF(AG428-AF432&gt;0,AG428-AF432,0)</f>
        <v>0</v>
      </c>
      <c r="AH432" s="47"/>
    </row>
    <row r="433" spans="2:34" x14ac:dyDescent="0.25">
      <c r="B433" s="72">
        <v>338</v>
      </c>
      <c r="C433" s="47" t="str">
        <f>IF(F432&gt;0.005,"February","")</f>
        <v>February</v>
      </c>
      <c r="D433" s="80">
        <f>IF(F432&gt;0,ROUND(F432*($F$6/12),2),0)</f>
        <v>1915.23</v>
      </c>
      <c r="E433" s="80">
        <f t="shared" ref="E433:E443" si="426">IF(F432&lt;$D$8,F432,$D$8-D433)</f>
        <v>22727.886926226871</v>
      </c>
      <c r="F433" s="80">
        <f t="shared" ref="F433:F443" si="427">IF(F432-E433&gt;0,F432-E433,0)</f>
        <v>537827.5358615485</v>
      </c>
      <c r="G433" s="47"/>
      <c r="I433" s="81">
        <f t="shared" ref="I433:I443" si="428">L432*J433/12</f>
        <v>106.97395710066898</v>
      </c>
      <c r="J433" s="82">
        <f t="shared" ref="J433:J443" si="429">$F$6/100</f>
        <v>4.0999999999999999E-4</v>
      </c>
      <c r="K433" s="81"/>
      <c r="L433" s="81">
        <f t="shared" ref="L433:L443" si="430">MAX(L432+L432*($F$6/100)/12-I433-K433,0)</f>
        <v>3130945.0858732383</v>
      </c>
      <c r="M433" s="83">
        <f t="shared" si="425"/>
        <v>142371.61061312995</v>
      </c>
      <c r="N433" s="84"/>
      <c r="O433" s="72">
        <v>338</v>
      </c>
      <c r="P433" s="47" t="str">
        <f>IF(S432&gt;0.005,"February","")</f>
        <v/>
      </c>
      <c r="Q433" s="80">
        <f>IF(O433&lt;$S$7,"",IF(O433=$S$7,$Q$6*($S$6/12),S432*($S$6/12)))</f>
        <v>0</v>
      </c>
      <c r="R433" s="80">
        <f t="shared" ref="R433:R443" si="431">IF(O433&lt;$S$7,"",$Q$8-Q433)</f>
        <v>0</v>
      </c>
      <c r="S433" s="80">
        <f t="shared" ref="S433:S443" si="432">IF(O433&lt;$S$7,"",IF(O433=$S$7,$Q$6-R433,S432-R433))</f>
        <v>0</v>
      </c>
      <c r="T433" s="47"/>
      <c r="U433" s="84"/>
      <c r="V433" s="72">
        <v>338</v>
      </c>
      <c r="W433" s="47" t="e">
        <f>IF(Z432&gt;0.005,"February","")</f>
        <v>#NAME?</v>
      </c>
      <c r="X433" s="80" t="e">
        <f t="shared" ref="X433:X443" si="433">IF(V433&lt;$Z$7,"",($Z$6/12)*$X$6)</f>
        <v>#NAME?</v>
      </c>
      <c r="Y433" s="80"/>
      <c r="Z433" s="80" t="e">
        <f t="shared" ref="Z433:Z443" si="434">IF(V433&lt;$S$7,"",$X$6)</f>
        <v>#NAME?</v>
      </c>
      <c r="AA433" s="47"/>
      <c r="AB433" s="84"/>
      <c r="AC433" s="83"/>
      <c r="AD433" s="47" t="str">
        <f>IF(AG432&gt;0.005,"February","")</f>
        <v/>
      </c>
      <c r="AE433" s="80">
        <f t="shared" ref="AE433:AE443" si="435">IF(AG432&gt;0,ROUND(AG432*($AG$6/1200),2),0)</f>
        <v>0</v>
      </c>
      <c r="AF433" s="80">
        <f t="shared" ref="AF433:AF443" si="436">IF(AG432&lt;$AE$8,AG432,$AE$8-AE433)</f>
        <v>0</v>
      </c>
      <c r="AG433" s="80">
        <f t="shared" ref="AG433:AG443" si="437">IF(AG432-AF433&gt;0,AG432-AF433,0)</f>
        <v>0</v>
      </c>
      <c r="AH433" s="47"/>
    </row>
    <row r="434" spans="2:34" x14ac:dyDescent="0.25">
      <c r="B434" s="72">
        <v>339</v>
      </c>
      <c r="C434" s="47" t="str">
        <f>IF(F433&gt;0.005,"March","")</f>
        <v>March</v>
      </c>
      <c r="D434" s="80">
        <f t="shared" ref="D434:D442" si="438">IF(F433&gt;0,ROUND(F433*($F$6/12),2),0)</f>
        <v>1837.58</v>
      </c>
      <c r="E434" s="80">
        <f t="shared" si="426"/>
        <v>22805.536926226872</v>
      </c>
      <c r="F434" s="80">
        <f t="shared" si="427"/>
        <v>515021.99893532164</v>
      </c>
      <c r="G434" s="47"/>
      <c r="I434" s="81">
        <f t="shared" si="428"/>
        <v>106.97395710066898</v>
      </c>
      <c r="J434" s="82">
        <f t="shared" si="429"/>
        <v>4.0999999999999999E-4</v>
      </c>
      <c r="K434" s="81"/>
      <c r="L434" s="81">
        <f t="shared" si="430"/>
        <v>3130945.0858732383</v>
      </c>
      <c r="M434" s="83">
        <f t="shared" si="425"/>
        <v>149148.66349588815</v>
      </c>
      <c r="N434" s="84"/>
      <c r="O434" s="72">
        <v>339</v>
      </c>
      <c r="P434" s="47" t="str">
        <f>IF(S433&gt;0.005,"March","")</f>
        <v/>
      </c>
      <c r="Q434" s="80">
        <f t="shared" ref="Q434:Q443" si="439">IF(O434&lt;$S$7,"",IF(O434=$S$7,$Q$6*($S$6/12),S433*($S$6/12)))</f>
        <v>0</v>
      </c>
      <c r="R434" s="80">
        <f t="shared" si="431"/>
        <v>0</v>
      </c>
      <c r="S434" s="80">
        <f t="shared" si="432"/>
        <v>0</v>
      </c>
      <c r="T434" s="47"/>
      <c r="U434" s="84"/>
      <c r="V434" s="72">
        <v>339</v>
      </c>
      <c r="W434" s="47" t="e">
        <f>IF(Z433&gt;0.005,"March","")</f>
        <v>#NAME?</v>
      </c>
      <c r="X434" s="80" t="e">
        <f t="shared" si="433"/>
        <v>#NAME?</v>
      </c>
      <c r="Y434" s="80"/>
      <c r="Z434" s="80" t="e">
        <f t="shared" si="434"/>
        <v>#NAME?</v>
      </c>
      <c r="AA434" s="47"/>
      <c r="AB434" s="84"/>
      <c r="AC434" s="83"/>
      <c r="AD434" s="47" t="str">
        <f>IF(AG433&gt;0.005,"March","")</f>
        <v/>
      </c>
      <c r="AE434" s="80">
        <f t="shared" si="435"/>
        <v>0</v>
      </c>
      <c r="AF434" s="80">
        <f t="shared" si="436"/>
        <v>0</v>
      </c>
      <c r="AG434" s="80">
        <f t="shared" si="437"/>
        <v>0</v>
      </c>
      <c r="AH434" s="47"/>
    </row>
    <row r="435" spans="2:34" x14ac:dyDescent="0.25">
      <c r="B435" s="72">
        <v>340</v>
      </c>
      <c r="C435" s="47" t="str">
        <f>IF(F434&gt;0.005,"April","")</f>
        <v>April</v>
      </c>
      <c r="D435" s="80">
        <f t="shared" si="438"/>
        <v>1759.66</v>
      </c>
      <c r="E435" s="80">
        <f t="shared" si="426"/>
        <v>22883.456926226871</v>
      </c>
      <c r="F435" s="80">
        <f t="shared" si="427"/>
        <v>492138.54200909479</v>
      </c>
      <c r="G435" s="47"/>
      <c r="I435" s="81">
        <f t="shared" si="428"/>
        <v>106.97395710066898</v>
      </c>
      <c r="J435" s="82">
        <f t="shared" si="429"/>
        <v>4.0999999999999999E-4</v>
      </c>
      <c r="K435" s="81"/>
      <c r="L435" s="81">
        <f t="shared" si="430"/>
        <v>3130945.0858732383</v>
      </c>
      <c r="M435" s="83">
        <f t="shared" si="425"/>
        <v>156603.42169737953</v>
      </c>
      <c r="N435" s="84"/>
      <c r="O435" s="72">
        <v>340</v>
      </c>
      <c r="P435" s="47" t="str">
        <f>IF(S434&gt;0.005,"April","")</f>
        <v/>
      </c>
      <c r="Q435" s="80">
        <f t="shared" si="439"/>
        <v>0</v>
      </c>
      <c r="R435" s="80">
        <f t="shared" si="431"/>
        <v>0</v>
      </c>
      <c r="S435" s="80">
        <f t="shared" si="432"/>
        <v>0</v>
      </c>
      <c r="T435" s="47"/>
      <c r="U435" s="84"/>
      <c r="V435" s="72">
        <v>340</v>
      </c>
      <c r="W435" s="47" t="e">
        <f>IF(Z434&gt;0.005,"April","")</f>
        <v>#NAME?</v>
      </c>
      <c r="X435" s="80" t="e">
        <f t="shared" si="433"/>
        <v>#NAME?</v>
      </c>
      <c r="Y435" s="80"/>
      <c r="Z435" s="80" t="e">
        <f t="shared" si="434"/>
        <v>#NAME?</v>
      </c>
      <c r="AA435" s="47"/>
      <c r="AB435" s="84"/>
      <c r="AC435" s="83"/>
      <c r="AD435" s="47" t="str">
        <f>IF(AG434&gt;0.005,"April","")</f>
        <v/>
      </c>
      <c r="AE435" s="80">
        <f t="shared" si="435"/>
        <v>0</v>
      </c>
      <c r="AF435" s="80">
        <f t="shared" si="436"/>
        <v>0</v>
      </c>
      <c r="AG435" s="80">
        <f t="shared" si="437"/>
        <v>0</v>
      </c>
      <c r="AH435" s="47"/>
    </row>
    <row r="436" spans="2:34" x14ac:dyDescent="0.25">
      <c r="B436" s="72">
        <v>341</v>
      </c>
      <c r="C436" s="47" t="str">
        <f>IF(F435&gt;0.005,"May","")</f>
        <v>May</v>
      </c>
      <c r="D436" s="80">
        <f t="shared" si="438"/>
        <v>1681.47</v>
      </c>
      <c r="E436" s="80">
        <f t="shared" si="426"/>
        <v>22961.646926226869</v>
      </c>
      <c r="F436" s="80">
        <f t="shared" si="427"/>
        <v>469176.89508286794</v>
      </c>
      <c r="G436" s="47"/>
      <c r="I436" s="81">
        <f t="shared" si="428"/>
        <v>106.97395710066898</v>
      </c>
      <c r="J436" s="82">
        <f t="shared" si="429"/>
        <v>4.0999999999999999E-4</v>
      </c>
      <c r="K436" s="81"/>
      <c r="L436" s="81">
        <f t="shared" si="430"/>
        <v>3130945.0858732383</v>
      </c>
      <c r="M436" s="83">
        <f t="shared" si="425"/>
        <v>164842.89132056193</v>
      </c>
      <c r="N436" s="84"/>
      <c r="O436" s="72">
        <v>341</v>
      </c>
      <c r="P436" s="47" t="str">
        <f>IF(S435&gt;0.005,"May","")</f>
        <v/>
      </c>
      <c r="Q436" s="80">
        <f t="shared" si="439"/>
        <v>0</v>
      </c>
      <c r="R436" s="80">
        <f t="shared" si="431"/>
        <v>0</v>
      </c>
      <c r="S436" s="80">
        <f t="shared" si="432"/>
        <v>0</v>
      </c>
      <c r="T436" s="47"/>
      <c r="U436" s="84"/>
      <c r="V436" s="72">
        <v>341</v>
      </c>
      <c r="W436" s="47" t="e">
        <f>IF(Z435&gt;0.005,"May","")</f>
        <v>#NAME?</v>
      </c>
      <c r="X436" s="80" t="e">
        <f t="shared" si="433"/>
        <v>#NAME?</v>
      </c>
      <c r="Y436" s="80"/>
      <c r="Z436" s="80" t="e">
        <f t="shared" si="434"/>
        <v>#NAME?</v>
      </c>
      <c r="AA436" s="47"/>
      <c r="AB436" s="84"/>
      <c r="AC436" s="83"/>
      <c r="AD436" s="47" t="str">
        <f>IF(AG435&gt;0.005,"May","")</f>
        <v/>
      </c>
      <c r="AE436" s="80">
        <f t="shared" si="435"/>
        <v>0</v>
      </c>
      <c r="AF436" s="80">
        <f t="shared" si="436"/>
        <v>0</v>
      </c>
      <c r="AG436" s="80">
        <f t="shared" si="437"/>
        <v>0</v>
      </c>
      <c r="AH436" s="47"/>
    </row>
    <row r="437" spans="2:34" x14ac:dyDescent="0.25">
      <c r="B437" s="72">
        <v>342</v>
      </c>
      <c r="C437" s="47" t="str">
        <f>IF(F436&gt;0.005,"June","")</f>
        <v>June</v>
      </c>
      <c r="D437" s="80">
        <f t="shared" si="438"/>
        <v>1603.02</v>
      </c>
      <c r="E437" s="80">
        <f t="shared" si="426"/>
        <v>23040.09692622687</v>
      </c>
      <c r="F437" s="80">
        <f t="shared" si="427"/>
        <v>446136.79815664107</v>
      </c>
      <c r="G437" s="47"/>
      <c r="I437" s="81">
        <f t="shared" si="428"/>
        <v>106.97395710066898</v>
      </c>
      <c r="J437" s="82">
        <f t="shared" si="429"/>
        <v>4.0999999999999999E-4</v>
      </c>
      <c r="K437" s="81"/>
      <c r="L437" s="81">
        <f t="shared" si="430"/>
        <v>3130945.0858732383</v>
      </c>
      <c r="M437" s="83">
        <f t="shared" si="425"/>
        <v>173997.85760238388</v>
      </c>
      <c r="N437" s="84"/>
      <c r="O437" s="72">
        <v>342</v>
      </c>
      <c r="P437" s="47" t="str">
        <f>IF(S436&gt;0.005,"June","")</f>
        <v/>
      </c>
      <c r="Q437" s="80">
        <f t="shared" si="439"/>
        <v>0</v>
      </c>
      <c r="R437" s="80">
        <f t="shared" si="431"/>
        <v>0</v>
      </c>
      <c r="S437" s="80">
        <f t="shared" si="432"/>
        <v>0</v>
      </c>
      <c r="T437" s="47"/>
      <c r="U437" s="84"/>
      <c r="V437" s="72">
        <v>342</v>
      </c>
      <c r="W437" s="47" t="e">
        <f>IF(Z436&gt;0.005,"June","")</f>
        <v>#NAME?</v>
      </c>
      <c r="X437" s="80" t="e">
        <f t="shared" si="433"/>
        <v>#NAME?</v>
      </c>
      <c r="Y437" s="80"/>
      <c r="Z437" s="80" t="e">
        <f t="shared" si="434"/>
        <v>#NAME?</v>
      </c>
      <c r="AA437" s="47"/>
      <c r="AB437" s="84"/>
      <c r="AC437" s="83"/>
      <c r="AD437" s="47" t="str">
        <f>IF(AG436&gt;0.005,"June","")</f>
        <v/>
      </c>
      <c r="AE437" s="80">
        <f t="shared" si="435"/>
        <v>0</v>
      </c>
      <c r="AF437" s="80">
        <f t="shared" si="436"/>
        <v>0</v>
      </c>
      <c r="AG437" s="80">
        <f t="shared" si="437"/>
        <v>0</v>
      </c>
      <c r="AH437" s="47"/>
    </row>
    <row r="438" spans="2:34" x14ac:dyDescent="0.25">
      <c r="B438" s="72">
        <v>343</v>
      </c>
      <c r="C438" s="47" t="str">
        <f>IF(F437&gt;0.005,"July","")</f>
        <v>July</v>
      </c>
      <c r="D438" s="80">
        <f t="shared" si="438"/>
        <v>1524.3</v>
      </c>
      <c r="E438" s="80">
        <f t="shared" si="426"/>
        <v>23118.816926226871</v>
      </c>
      <c r="F438" s="80">
        <f t="shared" si="427"/>
        <v>423017.98123041418</v>
      </c>
      <c r="G438" s="47"/>
      <c r="I438" s="81">
        <f t="shared" si="428"/>
        <v>106.97395710066898</v>
      </c>
      <c r="J438" s="82">
        <f t="shared" si="429"/>
        <v>4.0999999999999999E-4</v>
      </c>
      <c r="K438" s="81"/>
      <c r="L438" s="81">
        <f t="shared" si="430"/>
        <v>3130945.0858732383</v>
      </c>
      <c r="M438" s="83">
        <f t="shared" si="425"/>
        <v>184229.87877672294</v>
      </c>
      <c r="N438" s="84"/>
      <c r="O438" s="72">
        <v>343</v>
      </c>
      <c r="P438" s="47" t="str">
        <f>IF(S437&gt;0.005,"July","")</f>
        <v/>
      </c>
      <c r="Q438" s="80">
        <f t="shared" si="439"/>
        <v>0</v>
      </c>
      <c r="R438" s="80">
        <f t="shared" si="431"/>
        <v>0</v>
      </c>
      <c r="S438" s="80">
        <f t="shared" si="432"/>
        <v>0</v>
      </c>
      <c r="T438" s="47"/>
      <c r="U438" s="84"/>
      <c r="V438" s="72">
        <v>343</v>
      </c>
      <c r="W438" s="47" t="e">
        <f>IF(Z437&gt;0.005,"July","")</f>
        <v>#NAME?</v>
      </c>
      <c r="X438" s="80" t="e">
        <f t="shared" si="433"/>
        <v>#NAME?</v>
      </c>
      <c r="Y438" s="80"/>
      <c r="Z438" s="80" t="e">
        <f t="shared" si="434"/>
        <v>#NAME?</v>
      </c>
      <c r="AA438" s="47"/>
      <c r="AB438" s="84"/>
      <c r="AC438" s="83"/>
      <c r="AD438" s="47" t="str">
        <f>IF(AG437&gt;0.005,"July","")</f>
        <v/>
      </c>
      <c r="AE438" s="80">
        <f t="shared" si="435"/>
        <v>0</v>
      </c>
      <c r="AF438" s="80">
        <f t="shared" si="436"/>
        <v>0</v>
      </c>
      <c r="AG438" s="80">
        <f t="shared" si="437"/>
        <v>0</v>
      </c>
      <c r="AH438" s="47"/>
    </row>
    <row r="439" spans="2:34" x14ac:dyDescent="0.25">
      <c r="B439" s="72">
        <v>344</v>
      </c>
      <c r="C439" s="47" t="str">
        <f>IF(F438&gt;0.005,"August","")</f>
        <v>August</v>
      </c>
      <c r="D439" s="80">
        <f t="shared" si="438"/>
        <v>1445.31</v>
      </c>
      <c r="E439" s="80">
        <f t="shared" si="426"/>
        <v>23197.806926226869</v>
      </c>
      <c r="F439" s="80">
        <f t="shared" si="427"/>
        <v>399820.1743041873</v>
      </c>
      <c r="G439" s="47"/>
      <c r="I439" s="81">
        <f t="shared" si="428"/>
        <v>106.97395710066898</v>
      </c>
      <c r="J439" s="82">
        <f t="shared" si="429"/>
        <v>4.0999999999999999E-4</v>
      </c>
      <c r="K439" s="81"/>
      <c r="L439" s="81">
        <f t="shared" si="430"/>
        <v>3130945.0858732383</v>
      </c>
      <c r="M439" s="83">
        <f t="shared" si="425"/>
        <v>195740.90263592606</v>
      </c>
      <c r="N439" s="84"/>
      <c r="O439" s="72">
        <v>344</v>
      </c>
      <c r="P439" s="47" t="str">
        <f>IF(S438&gt;0.005,"August","")</f>
        <v/>
      </c>
      <c r="Q439" s="80">
        <f t="shared" si="439"/>
        <v>0</v>
      </c>
      <c r="R439" s="80">
        <f t="shared" si="431"/>
        <v>0</v>
      </c>
      <c r="S439" s="80">
        <f t="shared" si="432"/>
        <v>0</v>
      </c>
      <c r="T439" s="47"/>
      <c r="U439" s="84"/>
      <c r="V439" s="72">
        <v>344</v>
      </c>
      <c r="W439" s="47" t="e">
        <f>IF(Z438&gt;0.005,"August","")</f>
        <v>#NAME?</v>
      </c>
      <c r="X439" s="80" t="e">
        <f t="shared" si="433"/>
        <v>#NAME?</v>
      </c>
      <c r="Y439" s="80"/>
      <c r="Z439" s="80" t="e">
        <f t="shared" si="434"/>
        <v>#NAME?</v>
      </c>
      <c r="AA439" s="47"/>
      <c r="AB439" s="84"/>
      <c r="AC439" s="83"/>
      <c r="AD439" s="47" t="str">
        <f>IF(AG438&gt;0.005,"August","")</f>
        <v/>
      </c>
      <c r="AE439" s="80">
        <f t="shared" si="435"/>
        <v>0</v>
      </c>
      <c r="AF439" s="80">
        <f t="shared" si="436"/>
        <v>0</v>
      </c>
      <c r="AG439" s="80">
        <f t="shared" si="437"/>
        <v>0</v>
      </c>
      <c r="AH439" s="47"/>
    </row>
    <row r="440" spans="2:34" x14ac:dyDescent="0.25">
      <c r="B440" s="72">
        <v>345</v>
      </c>
      <c r="C440" s="47" t="str">
        <f>IF(F439&gt;0.005,"September","")</f>
        <v>September</v>
      </c>
      <c r="D440" s="80">
        <f t="shared" si="438"/>
        <v>1366.05</v>
      </c>
      <c r="E440" s="80">
        <f t="shared" si="426"/>
        <v>23277.066926226871</v>
      </c>
      <c r="F440" s="80">
        <f t="shared" si="427"/>
        <v>376543.1073779604</v>
      </c>
      <c r="G440" s="47"/>
      <c r="I440" s="81">
        <f t="shared" si="428"/>
        <v>106.97395710066898</v>
      </c>
      <c r="J440" s="82">
        <f t="shared" si="429"/>
        <v>4.0999999999999999E-4</v>
      </c>
      <c r="K440" s="81"/>
      <c r="L440" s="81">
        <f t="shared" si="430"/>
        <v>3130945.0858732383</v>
      </c>
      <c r="M440" s="83">
        <f t="shared" si="425"/>
        <v>208786.72971696602</v>
      </c>
      <c r="N440" s="84"/>
      <c r="O440" s="72">
        <v>345</v>
      </c>
      <c r="P440" s="47" t="str">
        <f>IF(S439&gt;0.005,"September","")</f>
        <v/>
      </c>
      <c r="Q440" s="80">
        <f t="shared" si="439"/>
        <v>0</v>
      </c>
      <c r="R440" s="80">
        <f t="shared" si="431"/>
        <v>0</v>
      </c>
      <c r="S440" s="80">
        <f t="shared" si="432"/>
        <v>0</v>
      </c>
      <c r="T440" s="47"/>
      <c r="U440" s="84"/>
      <c r="V440" s="72">
        <v>345</v>
      </c>
      <c r="W440" s="47" t="e">
        <f>IF(Z439&gt;0.005,"September","")</f>
        <v>#NAME?</v>
      </c>
      <c r="X440" s="80" t="e">
        <f t="shared" si="433"/>
        <v>#NAME?</v>
      </c>
      <c r="Y440" s="80"/>
      <c r="Z440" s="80" t="e">
        <f t="shared" si="434"/>
        <v>#NAME?</v>
      </c>
      <c r="AA440" s="47"/>
      <c r="AB440" s="84"/>
      <c r="AC440" s="83"/>
      <c r="AD440" s="47" t="str">
        <f>IF(AG439&gt;0.005,"September","")</f>
        <v/>
      </c>
      <c r="AE440" s="80">
        <f t="shared" si="435"/>
        <v>0</v>
      </c>
      <c r="AF440" s="80">
        <f t="shared" si="436"/>
        <v>0</v>
      </c>
      <c r="AG440" s="80">
        <f t="shared" si="437"/>
        <v>0</v>
      </c>
      <c r="AH440" s="47"/>
    </row>
    <row r="441" spans="2:34" x14ac:dyDescent="0.25">
      <c r="B441" s="72">
        <v>346</v>
      </c>
      <c r="C441" s="47" t="str">
        <f>IF(F440&gt;0.005,"October","")</f>
        <v>October</v>
      </c>
      <c r="D441" s="80">
        <f t="shared" si="438"/>
        <v>1286.52</v>
      </c>
      <c r="E441" s="80">
        <f t="shared" si="426"/>
        <v>23356.59692622687</v>
      </c>
      <c r="F441" s="80">
        <f t="shared" si="427"/>
        <v>353186.51045173354</v>
      </c>
      <c r="G441" s="47"/>
      <c r="I441" s="81">
        <f t="shared" si="428"/>
        <v>106.97395710066898</v>
      </c>
      <c r="J441" s="82">
        <f t="shared" si="429"/>
        <v>4.0999999999999999E-4</v>
      </c>
      <c r="K441" s="81"/>
      <c r="L441" s="81">
        <f t="shared" si="430"/>
        <v>3130945.0858732383</v>
      </c>
      <c r="M441" s="83">
        <f t="shared" si="425"/>
        <v>223696.24642452213</v>
      </c>
      <c r="N441" s="84"/>
      <c r="O441" s="72">
        <v>346</v>
      </c>
      <c r="P441" s="47" t="str">
        <f>IF(S440&gt;0.005,"October","")</f>
        <v/>
      </c>
      <c r="Q441" s="80">
        <f t="shared" si="439"/>
        <v>0</v>
      </c>
      <c r="R441" s="80">
        <f t="shared" si="431"/>
        <v>0</v>
      </c>
      <c r="S441" s="80">
        <f t="shared" si="432"/>
        <v>0</v>
      </c>
      <c r="T441" s="47"/>
      <c r="U441" s="84"/>
      <c r="V441" s="72">
        <v>346</v>
      </c>
      <c r="W441" s="47" t="e">
        <f>IF(Z440&gt;0.005,"October","")</f>
        <v>#NAME?</v>
      </c>
      <c r="X441" s="80" t="e">
        <f t="shared" si="433"/>
        <v>#NAME?</v>
      </c>
      <c r="Y441" s="80"/>
      <c r="Z441" s="80" t="e">
        <f t="shared" si="434"/>
        <v>#NAME?</v>
      </c>
      <c r="AA441" s="47"/>
      <c r="AB441" s="84"/>
      <c r="AC441" s="83"/>
      <c r="AD441" s="47" t="str">
        <f>IF(AG440&gt;0.005,"October","")</f>
        <v/>
      </c>
      <c r="AE441" s="80">
        <f t="shared" si="435"/>
        <v>0</v>
      </c>
      <c r="AF441" s="80">
        <f t="shared" si="436"/>
        <v>0</v>
      </c>
      <c r="AG441" s="80">
        <f t="shared" si="437"/>
        <v>0</v>
      </c>
      <c r="AH441" s="47"/>
    </row>
    <row r="442" spans="2:34" x14ac:dyDescent="0.25">
      <c r="B442" s="72">
        <v>347</v>
      </c>
      <c r="C442" s="47" t="str">
        <f>IF(F441&gt;0.005,"November","")</f>
        <v>November</v>
      </c>
      <c r="D442" s="80">
        <f t="shared" si="438"/>
        <v>1206.72</v>
      </c>
      <c r="E442" s="80">
        <f t="shared" si="426"/>
        <v>23436.396926226869</v>
      </c>
      <c r="F442" s="80">
        <f t="shared" si="427"/>
        <v>329750.11352550669</v>
      </c>
      <c r="G442" s="47"/>
      <c r="I442" s="81">
        <f t="shared" si="428"/>
        <v>106.97395710066898</v>
      </c>
      <c r="J442" s="82">
        <f t="shared" si="429"/>
        <v>4.0999999999999999E-4</v>
      </c>
      <c r="K442" s="81"/>
      <c r="L442" s="81">
        <f t="shared" si="430"/>
        <v>3130945.0858732383</v>
      </c>
      <c r="M442" s="83">
        <f t="shared" si="425"/>
        <v>240899.53498009831</v>
      </c>
      <c r="N442" s="84"/>
      <c r="O442" s="72">
        <v>347</v>
      </c>
      <c r="P442" s="47" t="str">
        <f>IF(S441&gt;0.005,"November","")</f>
        <v/>
      </c>
      <c r="Q442" s="80">
        <f t="shared" si="439"/>
        <v>0</v>
      </c>
      <c r="R442" s="80">
        <f t="shared" si="431"/>
        <v>0</v>
      </c>
      <c r="S442" s="80">
        <f t="shared" si="432"/>
        <v>0</v>
      </c>
      <c r="T442" s="47"/>
      <c r="U442" s="84"/>
      <c r="V442" s="72">
        <v>347</v>
      </c>
      <c r="W442" s="47" t="e">
        <f>IF(Z441&gt;0.005,"November","")</f>
        <v>#NAME?</v>
      </c>
      <c r="X442" s="80" t="e">
        <f t="shared" si="433"/>
        <v>#NAME?</v>
      </c>
      <c r="Y442" s="80"/>
      <c r="Z442" s="80" t="e">
        <f t="shared" si="434"/>
        <v>#NAME?</v>
      </c>
      <c r="AA442" s="47"/>
      <c r="AB442" s="84"/>
      <c r="AC442" s="83"/>
      <c r="AD442" s="47" t="str">
        <f>IF(AG441&gt;0.005,"November","")</f>
        <v/>
      </c>
      <c r="AE442" s="80">
        <f t="shared" si="435"/>
        <v>0</v>
      </c>
      <c r="AF442" s="80">
        <f t="shared" si="436"/>
        <v>0</v>
      </c>
      <c r="AG442" s="80">
        <f t="shared" si="437"/>
        <v>0</v>
      </c>
      <c r="AH442" s="47"/>
    </row>
    <row r="443" spans="2:34" x14ac:dyDescent="0.25">
      <c r="B443" s="72">
        <v>348</v>
      </c>
      <c r="C443" s="47" t="str">
        <f>IF(F442&gt;0.005,"December","")</f>
        <v>December</v>
      </c>
      <c r="D443" s="80">
        <f>IF(F442&gt;0,ROUND(F442*($F$6/12),2),0)</f>
        <v>1126.6500000000001</v>
      </c>
      <c r="E443" s="80">
        <f t="shared" si="426"/>
        <v>23516.466926226869</v>
      </c>
      <c r="F443" s="80">
        <f t="shared" si="427"/>
        <v>306233.64659927983</v>
      </c>
      <c r="G443" s="47"/>
      <c r="I443" s="81">
        <f t="shared" si="428"/>
        <v>106.97395710066898</v>
      </c>
      <c r="J443" s="82">
        <f t="shared" si="429"/>
        <v>4.0999999999999999E-4</v>
      </c>
      <c r="K443" s="81"/>
      <c r="L443" s="81">
        <f t="shared" si="430"/>
        <v>3130945.0858732383</v>
      </c>
      <c r="M443" s="83">
        <f t="shared" si="425"/>
        <v>260970.03834569931</v>
      </c>
      <c r="N443" s="84"/>
      <c r="O443" s="72">
        <v>348</v>
      </c>
      <c r="P443" s="47" t="str">
        <f>IF(S442&gt;0.005,"December","")</f>
        <v/>
      </c>
      <c r="Q443" s="80">
        <f t="shared" si="439"/>
        <v>0</v>
      </c>
      <c r="R443" s="80">
        <f t="shared" si="431"/>
        <v>0</v>
      </c>
      <c r="S443" s="80">
        <f t="shared" si="432"/>
        <v>0</v>
      </c>
      <c r="T443" s="47"/>
      <c r="U443" s="84"/>
      <c r="V443" s="72">
        <v>348</v>
      </c>
      <c r="W443" s="47" t="e">
        <f>IF(Z442&gt;0.005,"December","")</f>
        <v>#NAME?</v>
      </c>
      <c r="X443" s="80" t="e">
        <f t="shared" si="433"/>
        <v>#NAME?</v>
      </c>
      <c r="Y443" s="80"/>
      <c r="Z443" s="80" t="e">
        <f t="shared" si="434"/>
        <v>#NAME?</v>
      </c>
      <c r="AA443" s="47"/>
      <c r="AB443" s="84"/>
      <c r="AC443" s="83"/>
      <c r="AD443" s="47" t="str">
        <f>IF(AG442&gt;0.005,"December","")</f>
        <v/>
      </c>
      <c r="AE443" s="80">
        <f t="shared" si="435"/>
        <v>0</v>
      </c>
      <c r="AF443" s="80">
        <f t="shared" si="436"/>
        <v>0</v>
      </c>
      <c r="AG443" s="80">
        <f t="shared" si="437"/>
        <v>0</v>
      </c>
      <c r="AH443" s="47"/>
    </row>
    <row r="444" spans="2:34" x14ac:dyDescent="0.25">
      <c r="B444" s="46"/>
      <c r="C444" s="85" t="str">
        <f>"Total "&amp;YEAR($C$9)+28</f>
        <v>Total 2047</v>
      </c>
      <c r="D444" s="86">
        <f>SUM(D432:D443)</f>
        <v>18745.13</v>
      </c>
      <c r="E444" s="86">
        <f>SUM(E432:E443)</f>
        <v>276972.27311472245</v>
      </c>
      <c r="F444" s="87"/>
      <c r="G444" s="47"/>
      <c r="I444" s="86">
        <f>SUM(I432:I443)</f>
        <v>1283.6874852080275</v>
      </c>
      <c r="J444" s="46"/>
      <c r="K444" s="86">
        <f>SUM(K432:K443)</f>
        <v>0</v>
      </c>
      <c r="L444" s="46"/>
      <c r="M444" s="46"/>
      <c r="O444" s="46"/>
      <c r="P444" s="85" t="str">
        <f>"Total "&amp;YEAR($C$9)+28</f>
        <v>Total 2047</v>
      </c>
      <c r="Q444" s="86">
        <f>SUM(Q432:Q443)</f>
        <v>0</v>
      </c>
      <c r="R444" s="86">
        <f>SUM(R432:R443)</f>
        <v>0</v>
      </c>
      <c r="S444" s="87"/>
      <c r="T444" s="47"/>
      <c r="V444" s="46"/>
      <c r="W444" s="85" t="str">
        <f>"Total "&amp;YEAR($C$9)+28</f>
        <v>Total 2047</v>
      </c>
      <c r="X444" s="86" t="e">
        <f>SUM(X432:X443)</f>
        <v>#NAME?</v>
      </c>
      <c r="Y444" s="86">
        <f>SUM(Y432:Y443)</f>
        <v>0</v>
      </c>
      <c r="Z444" s="87"/>
      <c r="AA444" s="47"/>
      <c r="AC444" s="46"/>
      <c r="AD444" s="85" t="str">
        <f>"Total "&amp;YEAR($C$9)+28</f>
        <v>Total 2047</v>
      </c>
      <c r="AE444" s="86">
        <f>SUM(AE432:AE443)</f>
        <v>0</v>
      </c>
      <c r="AF444" s="86">
        <f>SUM(AF432:AF443)</f>
        <v>0</v>
      </c>
      <c r="AG444" s="87"/>
      <c r="AH444" s="47"/>
    </row>
    <row r="445" spans="2:34" x14ac:dyDescent="0.25">
      <c r="B445" s="46"/>
      <c r="C445" s="50"/>
      <c r="D445" s="88"/>
      <c r="E445" s="88"/>
      <c r="F445" s="80"/>
      <c r="G445" s="47"/>
      <c r="I445" s="46"/>
      <c r="J445" s="46"/>
      <c r="K445" s="46"/>
      <c r="L445" s="46"/>
      <c r="M445" s="46"/>
      <c r="O445" s="46"/>
      <c r="P445" s="50"/>
      <c r="Q445" s="88"/>
      <c r="R445" s="88"/>
      <c r="S445" s="80"/>
      <c r="T445" s="47"/>
      <c r="V445" s="46"/>
      <c r="W445" s="50"/>
      <c r="X445" s="88"/>
      <c r="Y445" s="88"/>
      <c r="Z445" s="80"/>
      <c r="AA445" s="47"/>
      <c r="AC445" s="46"/>
      <c r="AD445" s="50"/>
      <c r="AE445" s="88"/>
      <c r="AF445" s="88"/>
      <c r="AG445" s="80"/>
      <c r="AH445" s="47"/>
    </row>
    <row r="446" spans="2:34" x14ac:dyDescent="0.25">
      <c r="B446" s="46"/>
      <c r="C446" s="47"/>
      <c r="D446" s="75" t="s">
        <v>62</v>
      </c>
      <c r="E446" s="75" t="s">
        <v>63</v>
      </c>
      <c r="F446" s="75" t="s">
        <v>64</v>
      </c>
      <c r="G446" s="47"/>
      <c r="I446" s="46"/>
      <c r="J446" s="46"/>
      <c r="K446" s="46"/>
      <c r="L446" s="46"/>
      <c r="M446" s="46"/>
      <c r="O446" s="46"/>
      <c r="P446" s="47"/>
      <c r="Q446" s="75" t="s">
        <v>62</v>
      </c>
      <c r="R446" s="75" t="s">
        <v>63</v>
      </c>
      <c r="S446" s="75" t="s">
        <v>64</v>
      </c>
      <c r="T446" s="47"/>
      <c r="V446" s="46"/>
      <c r="W446" s="47"/>
      <c r="X446" s="75" t="s">
        <v>62</v>
      </c>
      <c r="Y446" s="75" t="s">
        <v>63</v>
      </c>
      <c r="Z446" s="75" t="s">
        <v>64</v>
      </c>
      <c r="AA446" s="47"/>
      <c r="AC446" s="46"/>
      <c r="AD446" s="47"/>
      <c r="AE446" s="75" t="s">
        <v>62</v>
      </c>
      <c r="AF446" s="75" t="s">
        <v>63</v>
      </c>
      <c r="AG446" s="75" t="s">
        <v>64</v>
      </c>
      <c r="AH446" s="47"/>
    </row>
    <row r="447" spans="2:34" x14ac:dyDescent="0.25">
      <c r="B447" s="72">
        <v>349</v>
      </c>
      <c r="C447" s="47" t="str">
        <f>IF(F443&gt;0.005,"January","")</f>
        <v>January</v>
      </c>
      <c r="D447" s="80">
        <f>IF(F443&gt;0,ROUND(F443*($F$6/12),2),0)</f>
        <v>1046.3</v>
      </c>
      <c r="E447" s="80">
        <f>IF(F443&lt;$D$8,F443,$D$8-D447)</f>
        <v>23596.816926226871</v>
      </c>
      <c r="F447" s="80">
        <f>IF(F443-E447&gt;0,F443-E447,0)</f>
        <v>282636.82967305294</v>
      </c>
      <c r="G447" s="47"/>
      <c r="I447" s="81">
        <f>L443*J447/12</f>
        <v>106.97395710066898</v>
      </c>
      <c r="J447" s="82">
        <f>$F$6/100</f>
        <v>4.0999999999999999E-4</v>
      </c>
      <c r="K447" s="81"/>
      <c r="L447" s="81">
        <f>MAX(L443+L443*($F$6/100)/12-I447-K447,0)</f>
        <v>3130945.0858732383</v>
      </c>
      <c r="M447" s="83">
        <f t="shared" ref="M447:M457" si="440">-PMT(($F$6/100)/12,$D$7-B447,L447,0,0)</f>
        <v>284689.72419678664</v>
      </c>
      <c r="N447" s="84"/>
      <c r="O447" s="72">
        <v>349</v>
      </c>
      <c r="P447" s="47" t="str">
        <f>IF(S443&gt;0.005,"January","")</f>
        <v/>
      </c>
      <c r="Q447" s="80">
        <f>IF(O447&lt;$S$7,"",IF(O447=$S$7,$Q$6*($S$6/12),S443*($S$6/12)))</f>
        <v>0</v>
      </c>
      <c r="R447" s="80">
        <f>IF(O447&lt;$S$7,"",$Q$8-Q447)</f>
        <v>0</v>
      </c>
      <c r="S447" s="80">
        <f>IF(O447&lt;$S$7,"",IF(O447=$S$7,$Q$6-R447,S443-R447))</f>
        <v>0</v>
      </c>
      <c r="T447" s="47"/>
      <c r="U447" s="84"/>
      <c r="V447" s="72">
        <v>349</v>
      </c>
      <c r="W447" s="47" t="e">
        <f>IF(Z443&gt;0.005,"January","")</f>
        <v>#NAME?</v>
      </c>
      <c r="X447" s="80" t="e">
        <f>IF(V447&lt;$Z$7,"",($Z$6/12)*$X$6)</f>
        <v>#NAME?</v>
      </c>
      <c r="Y447" s="80"/>
      <c r="Z447" s="80" t="e">
        <f>IF(V447&lt;$S$7,"",$X$6)</f>
        <v>#NAME?</v>
      </c>
      <c r="AA447" s="47"/>
      <c r="AB447" s="84"/>
      <c r="AC447" s="83"/>
      <c r="AD447" s="47" t="str">
        <f>IF(AG443&gt;0.005,"January","")</f>
        <v/>
      </c>
      <c r="AE447" s="80">
        <f>IF(AG443&gt;0,ROUND(AG443*($AG$6/1200),2),0)</f>
        <v>0</v>
      </c>
      <c r="AF447" s="80">
        <f>IF(AG443&lt;$AE$8,AG443,$AE$8-AE447)</f>
        <v>0</v>
      </c>
      <c r="AG447" s="80">
        <f>IF(AG443-AF447&gt;0,AG443-AF447,0)</f>
        <v>0</v>
      </c>
      <c r="AH447" s="47"/>
    </row>
    <row r="448" spans="2:34" x14ac:dyDescent="0.25">
      <c r="B448" s="72">
        <v>350</v>
      </c>
      <c r="C448" s="47" t="str">
        <f>IF(F447&gt;0.005,"February","")</f>
        <v>February</v>
      </c>
      <c r="D448" s="80">
        <f>IF(F447&gt;0,ROUND(F447*($F$6/12),2),0)</f>
        <v>965.68</v>
      </c>
      <c r="E448" s="80">
        <f t="shared" ref="E448:E458" si="441">IF(F447&lt;$D$8,F447,$D$8-D448)</f>
        <v>23677.43692622687</v>
      </c>
      <c r="F448" s="80">
        <f t="shared" ref="F448:F458" si="442">IF(F447-E448&gt;0,F447-E448,0)</f>
        <v>258959.39274682608</v>
      </c>
      <c r="G448" s="47"/>
      <c r="I448" s="81">
        <f t="shared" ref="I448:I458" si="443">L447*J448/12</f>
        <v>106.97395710066898</v>
      </c>
      <c r="J448" s="82">
        <f t="shared" ref="J448:J458" si="444">$F$6/100</f>
        <v>4.0999999999999999E-4</v>
      </c>
      <c r="K448" s="81"/>
      <c r="L448" s="81">
        <f t="shared" ref="L448:L458" si="445">MAX(L447+L447*($F$6/100)/12-I448-K448,0)</f>
        <v>3130945.0858732383</v>
      </c>
      <c r="M448" s="83">
        <f t="shared" si="440"/>
        <v>313153.34727900603</v>
      </c>
      <c r="N448" s="84"/>
      <c r="O448" s="72">
        <v>350</v>
      </c>
      <c r="P448" s="47" t="str">
        <f>IF(S447&gt;0.005,"February","")</f>
        <v/>
      </c>
      <c r="Q448" s="80">
        <f>IF(O448&lt;$S$7,"",IF(O448=$S$7,$Q$6*($S$6/12),S447*($S$6/12)))</f>
        <v>0</v>
      </c>
      <c r="R448" s="80">
        <f t="shared" ref="R448:R458" si="446">IF(O448&lt;$S$7,"",$Q$8-Q448)</f>
        <v>0</v>
      </c>
      <c r="S448" s="80">
        <f t="shared" ref="S448:S458" si="447">IF(O448&lt;$S$7,"",IF(O448=$S$7,$Q$6-R448,S447-R448))</f>
        <v>0</v>
      </c>
      <c r="T448" s="47"/>
      <c r="U448" s="84"/>
      <c r="V448" s="72">
        <v>350</v>
      </c>
      <c r="W448" s="47" t="e">
        <f>IF(Z447&gt;0.005,"February","")</f>
        <v>#NAME?</v>
      </c>
      <c r="X448" s="80" t="e">
        <f t="shared" ref="X448:X458" si="448">IF(V448&lt;$Z$7,"",($Z$6/12)*$X$6)</f>
        <v>#NAME?</v>
      </c>
      <c r="Y448" s="80"/>
      <c r="Z448" s="80" t="e">
        <f t="shared" ref="Z448:Z458" si="449">IF(V448&lt;$S$7,"",$X$6)</f>
        <v>#NAME?</v>
      </c>
      <c r="AA448" s="47"/>
      <c r="AB448" s="84"/>
      <c r="AC448" s="83"/>
      <c r="AD448" s="47" t="str">
        <f>IF(AG447&gt;0.005,"February","")</f>
        <v/>
      </c>
      <c r="AE448" s="80">
        <f t="shared" ref="AE448:AE458" si="450">IF(AG447&gt;0,ROUND(AG447*($AG$6/1200),2),0)</f>
        <v>0</v>
      </c>
      <c r="AF448" s="80">
        <f t="shared" ref="AF448:AF458" si="451">IF(AG447&lt;$AE$8,AG447,$AE$8-AE448)</f>
        <v>0</v>
      </c>
      <c r="AG448" s="80">
        <f t="shared" ref="AG448:AG458" si="452">IF(AG447-AF448&gt;0,AG447-AF448,0)</f>
        <v>0</v>
      </c>
      <c r="AH448" s="47"/>
    </row>
    <row r="449" spans="2:34" x14ac:dyDescent="0.25">
      <c r="B449" s="72">
        <v>351</v>
      </c>
      <c r="C449" s="47" t="str">
        <f>IF(F448&gt;0.005,"March","")</f>
        <v>March</v>
      </c>
      <c r="D449" s="80">
        <f t="shared" ref="D449:D457" si="453">IF(F448&gt;0,ROUND(F448*($F$6/12),2),0)</f>
        <v>884.78</v>
      </c>
      <c r="E449" s="80">
        <f t="shared" si="441"/>
        <v>23758.336926226872</v>
      </c>
      <c r="F449" s="80">
        <f t="shared" si="442"/>
        <v>235201.0558205992</v>
      </c>
      <c r="G449" s="47"/>
      <c r="I449" s="81">
        <f t="shared" si="443"/>
        <v>106.97395710066898</v>
      </c>
      <c r="J449" s="82">
        <f t="shared" si="444"/>
        <v>4.0999999999999999E-4</v>
      </c>
      <c r="K449" s="81"/>
      <c r="L449" s="81">
        <f t="shared" si="445"/>
        <v>3130945.0858732383</v>
      </c>
      <c r="M449" s="83">
        <f t="shared" si="440"/>
        <v>347942.22000273503</v>
      </c>
      <c r="N449" s="84"/>
      <c r="O449" s="72">
        <v>351</v>
      </c>
      <c r="P449" s="47" t="str">
        <f>IF(S448&gt;0.005,"March","")</f>
        <v/>
      </c>
      <c r="Q449" s="80">
        <f t="shared" ref="Q449:Q458" si="454">IF(O449&lt;$S$7,"",IF(O449=$S$7,$Q$6*($S$6/12),S448*($S$6/12)))</f>
        <v>0</v>
      </c>
      <c r="R449" s="80">
        <f t="shared" si="446"/>
        <v>0</v>
      </c>
      <c r="S449" s="80">
        <f t="shared" si="447"/>
        <v>0</v>
      </c>
      <c r="T449" s="47"/>
      <c r="U449" s="84"/>
      <c r="V449" s="72">
        <v>351</v>
      </c>
      <c r="W449" s="47" t="e">
        <f>IF(Z448&gt;0.005,"March","")</f>
        <v>#NAME?</v>
      </c>
      <c r="X449" s="80" t="e">
        <f t="shared" si="448"/>
        <v>#NAME?</v>
      </c>
      <c r="Y449" s="80"/>
      <c r="Z449" s="80" t="e">
        <f t="shared" si="449"/>
        <v>#NAME?</v>
      </c>
      <c r="AA449" s="47"/>
      <c r="AB449" s="84"/>
      <c r="AC449" s="83"/>
      <c r="AD449" s="47" t="str">
        <f>IF(AG448&gt;0.005,"March","")</f>
        <v/>
      </c>
      <c r="AE449" s="80">
        <f t="shared" si="450"/>
        <v>0</v>
      </c>
      <c r="AF449" s="80">
        <f t="shared" si="451"/>
        <v>0</v>
      </c>
      <c r="AG449" s="80">
        <f t="shared" si="452"/>
        <v>0</v>
      </c>
      <c r="AH449" s="47"/>
    </row>
    <row r="450" spans="2:34" x14ac:dyDescent="0.25">
      <c r="B450" s="72">
        <v>352</v>
      </c>
      <c r="C450" s="47" t="str">
        <f>IF(F449&gt;0.005,"April","")</f>
        <v>April</v>
      </c>
      <c r="D450" s="80">
        <f t="shared" si="453"/>
        <v>803.6</v>
      </c>
      <c r="E450" s="80">
        <f t="shared" si="441"/>
        <v>23839.516926226872</v>
      </c>
      <c r="F450" s="80">
        <f t="shared" si="442"/>
        <v>211361.53889437232</v>
      </c>
      <c r="G450" s="47"/>
      <c r="I450" s="81">
        <f t="shared" si="443"/>
        <v>106.97395710066898</v>
      </c>
      <c r="J450" s="82">
        <f t="shared" si="444"/>
        <v>4.0999999999999999E-4</v>
      </c>
      <c r="K450" s="81"/>
      <c r="L450" s="81">
        <f t="shared" si="445"/>
        <v>3130945.0858732383</v>
      </c>
      <c r="M450" s="83">
        <f t="shared" si="440"/>
        <v>391428.31098353956</v>
      </c>
      <c r="N450" s="84"/>
      <c r="O450" s="72">
        <v>352</v>
      </c>
      <c r="P450" s="47" t="str">
        <f>IF(S449&gt;0.005,"April","")</f>
        <v/>
      </c>
      <c r="Q450" s="80">
        <f t="shared" si="454"/>
        <v>0</v>
      </c>
      <c r="R450" s="80">
        <f t="shared" si="446"/>
        <v>0</v>
      </c>
      <c r="S450" s="80">
        <f t="shared" si="447"/>
        <v>0</v>
      </c>
      <c r="T450" s="47"/>
      <c r="U450" s="84"/>
      <c r="V450" s="72">
        <v>352</v>
      </c>
      <c r="W450" s="47" t="e">
        <f>IF(Z449&gt;0.005,"April","")</f>
        <v>#NAME?</v>
      </c>
      <c r="X450" s="80" t="e">
        <f t="shared" si="448"/>
        <v>#NAME?</v>
      </c>
      <c r="Y450" s="80"/>
      <c r="Z450" s="80" t="e">
        <f t="shared" si="449"/>
        <v>#NAME?</v>
      </c>
      <c r="AA450" s="47"/>
      <c r="AB450" s="84"/>
      <c r="AC450" s="83"/>
      <c r="AD450" s="47" t="str">
        <f>IF(AG449&gt;0.005,"April","")</f>
        <v/>
      </c>
      <c r="AE450" s="80">
        <f t="shared" si="450"/>
        <v>0</v>
      </c>
      <c r="AF450" s="80">
        <f t="shared" si="451"/>
        <v>0</v>
      </c>
      <c r="AG450" s="80">
        <f t="shared" si="452"/>
        <v>0</v>
      </c>
      <c r="AH450" s="47"/>
    </row>
    <row r="451" spans="2:34" x14ac:dyDescent="0.25">
      <c r="B451" s="72">
        <v>353</v>
      </c>
      <c r="C451" s="47" t="str">
        <f>IF(F450&gt;0.005,"May","")</f>
        <v>May</v>
      </c>
      <c r="D451" s="80">
        <f t="shared" si="453"/>
        <v>722.15</v>
      </c>
      <c r="E451" s="80">
        <f t="shared" si="441"/>
        <v>23920.966926226869</v>
      </c>
      <c r="F451" s="80">
        <f t="shared" si="442"/>
        <v>187440.57196814546</v>
      </c>
      <c r="G451" s="47"/>
      <c r="I451" s="81">
        <f t="shared" si="443"/>
        <v>106.97395710066898</v>
      </c>
      <c r="J451" s="82">
        <f t="shared" si="444"/>
        <v>4.0999999999999999E-4</v>
      </c>
      <c r="K451" s="81"/>
      <c r="L451" s="81">
        <f t="shared" si="445"/>
        <v>3130945.0858732383</v>
      </c>
      <c r="M451" s="83">
        <f t="shared" si="440"/>
        <v>447338.99947445217</v>
      </c>
      <c r="N451" s="84"/>
      <c r="O451" s="72">
        <v>353</v>
      </c>
      <c r="P451" s="47" t="str">
        <f>IF(S450&gt;0.005,"May","")</f>
        <v/>
      </c>
      <c r="Q451" s="80">
        <f t="shared" si="454"/>
        <v>0</v>
      </c>
      <c r="R451" s="80">
        <f t="shared" si="446"/>
        <v>0</v>
      </c>
      <c r="S451" s="80">
        <f t="shared" si="447"/>
        <v>0</v>
      </c>
      <c r="T451" s="47"/>
      <c r="U451" s="84"/>
      <c r="V451" s="72">
        <v>353</v>
      </c>
      <c r="W451" s="47" t="e">
        <f>IF(Z450&gt;0.005,"May","")</f>
        <v>#NAME?</v>
      </c>
      <c r="X451" s="80" t="e">
        <f t="shared" si="448"/>
        <v>#NAME?</v>
      </c>
      <c r="Y451" s="80"/>
      <c r="Z451" s="80" t="e">
        <f t="shared" si="449"/>
        <v>#NAME?</v>
      </c>
      <c r="AA451" s="47"/>
      <c r="AB451" s="84"/>
      <c r="AC451" s="83"/>
      <c r="AD451" s="47" t="str">
        <f>IF(AG450&gt;0.005,"May","")</f>
        <v/>
      </c>
      <c r="AE451" s="80">
        <f t="shared" si="450"/>
        <v>0</v>
      </c>
      <c r="AF451" s="80">
        <f t="shared" si="451"/>
        <v>0</v>
      </c>
      <c r="AG451" s="80">
        <f t="shared" si="452"/>
        <v>0</v>
      </c>
      <c r="AH451" s="47"/>
    </row>
    <row r="452" spans="2:34" x14ac:dyDescent="0.25">
      <c r="B452" s="72">
        <v>354</v>
      </c>
      <c r="C452" s="47" t="str">
        <f>IF(F451&gt;0.005,"June","")</f>
        <v>June</v>
      </c>
      <c r="D452" s="80">
        <f t="shared" si="453"/>
        <v>640.41999999999996</v>
      </c>
      <c r="E452" s="80">
        <f t="shared" si="441"/>
        <v>24002.696926226872</v>
      </c>
      <c r="F452" s="80">
        <f t="shared" si="442"/>
        <v>163437.8750419186</v>
      </c>
      <c r="G452" s="47"/>
      <c r="I452" s="81">
        <f t="shared" si="443"/>
        <v>106.97395710066898</v>
      </c>
      <c r="J452" s="82">
        <f t="shared" si="444"/>
        <v>4.0999999999999999E-4</v>
      </c>
      <c r="K452" s="81"/>
      <c r="L452" s="81">
        <f t="shared" si="445"/>
        <v>3130945.0858732383</v>
      </c>
      <c r="M452" s="83">
        <f t="shared" si="440"/>
        <v>521886.58423052664</v>
      </c>
      <c r="N452" s="84"/>
      <c r="O452" s="72">
        <v>354</v>
      </c>
      <c r="P452" s="47" t="str">
        <f>IF(S451&gt;0.005,"June","")</f>
        <v/>
      </c>
      <c r="Q452" s="80">
        <f t="shared" si="454"/>
        <v>0</v>
      </c>
      <c r="R452" s="80">
        <f t="shared" si="446"/>
        <v>0</v>
      </c>
      <c r="S452" s="80">
        <f t="shared" si="447"/>
        <v>0</v>
      </c>
      <c r="T452" s="47"/>
      <c r="U452" s="84"/>
      <c r="V452" s="72">
        <v>354</v>
      </c>
      <c r="W452" s="47" t="e">
        <f>IF(Z451&gt;0.005,"June","")</f>
        <v>#NAME?</v>
      </c>
      <c r="X452" s="80" t="e">
        <f t="shared" si="448"/>
        <v>#NAME?</v>
      </c>
      <c r="Y452" s="80"/>
      <c r="Z452" s="80" t="e">
        <f t="shared" si="449"/>
        <v>#NAME?</v>
      </c>
      <c r="AA452" s="47"/>
      <c r="AB452" s="84"/>
      <c r="AC452" s="83"/>
      <c r="AD452" s="47" t="str">
        <f>IF(AG451&gt;0.005,"June","")</f>
        <v/>
      </c>
      <c r="AE452" s="80">
        <f t="shared" si="450"/>
        <v>0</v>
      </c>
      <c r="AF452" s="80">
        <f t="shared" si="451"/>
        <v>0</v>
      </c>
      <c r="AG452" s="80">
        <f t="shared" si="452"/>
        <v>0</v>
      </c>
      <c r="AH452" s="47"/>
    </row>
    <row r="453" spans="2:34" x14ac:dyDescent="0.25">
      <c r="B453" s="72">
        <v>355</v>
      </c>
      <c r="C453" s="47" t="str">
        <f>IF(F452&gt;0.005,"July","")</f>
        <v>July</v>
      </c>
      <c r="D453" s="80">
        <f t="shared" si="453"/>
        <v>558.41</v>
      </c>
      <c r="E453" s="80">
        <f t="shared" si="441"/>
        <v>24084.706926226871</v>
      </c>
      <c r="F453" s="80">
        <f t="shared" si="442"/>
        <v>139353.16811569172</v>
      </c>
      <c r="G453" s="47"/>
      <c r="I453" s="81">
        <f t="shared" si="443"/>
        <v>106.97395710066898</v>
      </c>
      <c r="J453" s="82">
        <f t="shared" si="444"/>
        <v>4.0999999999999999E-4</v>
      </c>
      <c r="K453" s="81"/>
      <c r="L453" s="81">
        <f t="shared" si="445"/>
        <v>3130945.0858732383</v>
      </c>
      <c r="M453" s="83">
        <f t="shared" si="440"/>
        <v>626253.20301086048</v>
      </c>
      <c r="N453" s="84"/>
      <c r="O453" s="72">
        <v>355</v>
      </c>
      <c r="P453" s="47" t="str">
        <f>IF(S452&gt;0.005,"July","")</f>
        <v/>
      </c>
      <c r="Q453" s="80">
        <f t="shared" si="454"/>
        <v>0</v>
      </c>
      <c r="R453" s="80">
        <f t="shared" si="446"/>
        <v>0</v>
      </c>
      <c r="S453" s="80">
        <f t="shared" si="447"/>
        <v>0</v>
      </c>
      <c r="T453" s="47"/>
      <c r="U453" s="84"/>
      <c r="V453" s="72">
        <v>355</v>
      </c>
      <c r="W453" s="47" t="e">
        <f>IF(Z452&gt;0.005,"July","")</f>
        <v>#NAME?</v>
      </c>
      <c r="X453" s="80" t="e">
        <f t="shared" si="448"/>
        <v>#NAME?</v>
      </c>
      <c r="Y453" s="80"/>
      <c r="Z453" s="80" t="e">
        <f t="shared" si="449"/>
        <v>#NAME?</v>
      </c>
      <c r="AA453" s="47"/>
      <c r="AB453" s="84"/>
      <c r="AC453" s="83"/>
      <c r="AD453" s="47" t="str">
        <f>IF(AG452&gt;0.005,"July","")</f>
        <v/>
      </c>
      <c r="AE453" s="80">
        <f t="shared" si="450"/>
        <v>0</v>
      </c>
      <c r="AF453" s="80">
        <f t="shared" si="451"/>
        <v>0</v>
      </c>
      <c r="AG453" s="80">
        <f t="shared" si="452"/>
        <v>0</v>
      </c>
      <c r="AH453" s="47"/>
    </row>
    <row r="454" spans="2:34" x14ac:dyDescent="0.25">
      <c r="B454" s="72">
        <v>356</v>
      </c>
      <c r="C454" s="47" t="str">
        <f>IF(F453&gt;0.005,"August","")</f>
        <v>August</v>
      </c>
      <c r="D454" s="80">
        <f t="shared" si="453"/>
        <v>476.12</v>
      </c>
      <c r="E454" s="80">
        <f t="shared" si="441"/>
        <v>24166.996926226871</v>
      </c>
      <c r="F454" s="80">
        <f t="shared" si="442"/>
        <v>115186.17118946485</v>
      </c>
      <c r="G454" s="47"/>
      <c r="I454" s="81">
        <f t="shared" si="443"/>
        <v>106.97395710066898</v>
      </c>
      <c r="J454" s="82">
        <f t="shared" si="444"/>
        <v>4.0999999999999999E-4</v>
      </c>
      <c r="K454" s="81"/>
      <c r="L454" s="81">
        <f t="shared" si="445"/>
        <v>3130945.0858732383</v>
      </c>
      <c r="M454" s="83">
        <f t="shared" si="440"/>
        <v>782803.13133364765</v>
      </c>
      <c r="N454" s="84"/>
      <c r="O454" s="72">
        <v>356</v>
      </c>
      <c r="P454" s="47" t="str">
        <f>IF(S453&gt;0.005,"August","")</f>
        <v/>
      </c>
      <c r="Q454" s="80">
        <f t="shared" si="454"/>
        <v>0</v>
      </c>
      <c r="R454" s="80">
        <f t="shared" si="446"/>
        <v>0</v>
      </c>
      <c r="S454" s="80">
        <f t="shared" si="447"/>
        <v>0</v>
      </c>
      <c r="T454" s="47"/>
      <c r="U454" s="84"/>
      <c r="V454" s="72">
        <v>356</v>
      </c>
      <c r="W454" s="47" t="e">
        <f>IF(Z453&gt;0.005,"August","")</f>
        <v>#NAME?</v>
      </c>
      <c r="X454" s="80" t="e">
        <f t="shared" si="448"/>
        <v>#NAME?</v>
      </c>
      <c r="Y454" s="80"/>
      <c r="Z454" s="80" t="e">
        <f t="shared" si="449"/>
        <v>#NAME?</v>
      </c>
      <c r="AA454" s="47"/>
      <c r="AB454" s="84"/>
      <c r="AC454" s="83"/>
      <c r="AD454" s="47" t="str">
        <f>IF(AG453&gt;0.005,"August","")</f>
        <v/>
      </c>
      <c r="AE454" s="80">
        <f t="shared" si="450"/>
        <v>0</v>
      </c>
      <c r="AF454" s="80">
        <f t="shared" si="451"/>
        <v>0</v>
      </c>
      <c r="AG454" s="80">
        <f t="shared" si="452"/>
        <v>0</v>
      </c>
      <c r="AH454" s="47"/>
    </row>
    <row r="455" spans="2:34" x14ac:dyDescent="0.25">
      <c r="B455" s="72">
        <v>357</v>
      </c>
      <c r="C455" s="47" t="str">
        <f>IF(F454&gt;0.005,"September","")</f>
        <v>September</v>
      </c>
      <c r="D455" s="80">
        <f t="shared" si="453"/>
        <v>393.55</v>
      </c>
      <c r="E455" s="80">
        <f t="shared" si="441"/>
        <v>24249.566926226871</v>
      </c>
      <c r="F455" s="80">
        <f t="shared" si="442"/>
        <v>90936.604263237969</v>
      </c>
      <c r="G455" s="47"/>
      <c r="I455" s="81">
        <f t="shared" si="443"/>
        <v>106.97395710066898</v>
      </c>
      <c r="J455" s="82">
        <f t="shared" si="444"/>
        <v>4.0999999999999999E-4</v>
      </c>
      <c r="K455" s="81"/>
      <c r="L455" s="81">
        <f t="shared" si="445"/>
        <v>3130945.0858732383</v>
      </c>
      <c r="M455" s="83">
        <f t="shared" si="440"/>
        <v>1043719.6787413422</v>
      </c>
      <c r="N455" s="84"/>
      <c r="O455" s="72">
        <v>357</v>
      </c>
      <c r="P455" s="47" t="str">
        <f>IF(S454&gt;0.005,"September","")</f>
        <v/>
      </c>
      <c r="Q455" s="80">
        <f t="shared" si="454"/>
        <v>0</v>
      </c>
      <c r="R455" s="80">
        <f t="shared" si="446"/>
        <v>0</v>
      </c>
      <c r="S455" s="80">
        <f t="shared" si="447"/>
        <v>0</v>
      </c>
      <c r="T455" s="47"/>
      <c r="U455" s="84"/>
      <c r="V455" s="72">
        <v>357</v>
      </c>
      <c r="W455" s="47" t="e">
        <f>IF(Z454&gt;0.005,"September","")</f>
        <v>#NAME?</v>
      </c>
      <c r="X455" s="80" t="e">
        <f t="shared" si="448"/>
        <v>#NAME?</v>
      </c>
      <c r="Y455" s="80"/>
      <c r="Z455" s="80" t="e">
        <f t="shared" si="449"/>
        <v>#NAME?</v>
      </c>
      <c r="AA455" s="47"/>
      <c r="AB455" s="84"/>
      <c r="AC455" s="83"/>
      <c r="AD455" s="47" t="str">
        <f>IF(AG454&gt;0.005,"September","")</f>
        <v/>
      </c>
      <c r="AE455" s="80">
        <f t="shared" si="450"/>
        <v>0</v>
      </c>
      <c r="AF455" s="80">
        <f t="shared" si="451"/>
        <v>0</v>
      </c>
      <c r="AG455" s="80">
        <f t="shared" si="452"/>
        <v>0</v>
      </c>
      <c r="AH455" s="47"/>
    </row>
    <row r="456" spans="2:34" x14ac:dyDescent="0.25">
      <c r="B456" s="72">
        <v>358</v>
      </c>
      <c r="C456" s="47" t="str">
        <f>IF(F455&gt;0.005,"October","")</f>
        <v>October</v>
      </c>
      <c r="D456" s="80">
        <f t="shared" si="453"/>
        <v>310.7</v>
      </c>
      <c r="E456" s="80">
        <f t="shared" si="441"/>
        <v>24332.41692622687</v>
      </c>
      <c r="F456" s="80">
        <f t="shared" si="442"/>
        <v>66604.187337011099</v>
      </c>
      <c r="G456" s="47"/>
      <c r="I456" s="81">
        <f t="shared" si="443"/>
        <v>106.97395710066898</v>
      </c>
      <c r="J456" s="82">
        <f t="shared" si="444"/>
        <v>4.0999999999999999E-4</v>
      </c>
      <c r="K456" s="81"/>
      <c r="L456" s="81">
        <f t="shared" si="445"/>
        <v>3130945.0858732383</v>
      </c>
      <c r="M456" s="83">
        <f t="shared" si="440"/>
        <v>1565552.7738613044</v>
      </c>
      <c r="N456" s="84"/>
      <c r="O456" s="72">
        <v>358</v>
      </c>
      <c r="P456" s="47" t="str">
        <f>IF(S455&gt;0.005,"October","")</f>
        <v/>
      </c>
      <c r="Q456" s="80">
        <f t="shared" si="454"/>
        <v>0</v>
      </c>
      <c r="R456" s="80">
        <f t="shared" si="446"/>
        <v>0</v>
      </c>
      <c r="S456" s="80">
        <f t="shared" si="447"/>
        <v>0</v>
      </c>
      <c r="T456" s="47"/>
      <c r="U456" s="84"/>
      <c r="V456" s="72">
        <v>358</v>
      </c>
      <c r="W456" s="47" t="e">
        <f>IF(Z455&gt;0.005,"October","")</f>
        <v>#NAME?</v>
      </c>
      <c r="X456" s="80" t="e">
        <f t="shared" si="448"/>
        <v>#NAME?</v>
      </c>
      <c r="Y456" s="80"/>
      <c r="Z456" s="80" t="e">
        <f t="shared" si="449"/>
        <v>#NAME?</v>
      </c>
      <c r="AA456" s="47"/>
      <c r="AB456" s="84"/>
      <c r="AC456" s="83"/>
      <c r="AD456" s="47" t="str">
        <f>IF(AG455&gt;0.005,"October","")</f>
        <v/>
      </c>
      <c r="AE456" s="80">
        <f t="shared" si="450"/>
        <v>0</v>
      </c>
      <c r="AF456" s="80">
        <f t="shared" si="451"/>
        <v>0</v>
      </c>
      <c r="AG456" s="80">
        <f t="shared" si="452"/>
        <v>0</v>
      </c>
      <c r="AH456" s="47"/>
    </row>
    <row r="457" spans="2:34" x14ac:dyDescent="0.25">
      <c r="B457" s="72">
        <v>359</v>
      </c>
      <c r="C457" s="47" t="str">
        <f>IF(F456&gt;0.005,"November","")</f>
        <v>November</v>
      </c>
      <c r="D457" s="80">
        <f t="shared" si="453"/>
        <v>227.56</v>
      </c>
      <c r="E457" s="80">
        <f t="shared" si="441"/>
        <v>24415.556926226869</v>
      </c>
      <c r="F457" s="80">
        <f t="shared" si="442"/>
        <v>42188.63041078423</v>
      </c>
      <c r="G457" s="47"/>
      <c r="I457" s="81">
        <f t="shared" si="443"/>
        <v>106.97395710066898</v>
      </c>
      <c r="J457" s="82">
        <f t="shared" si="444"/>
        <v>4.0999999999999999E-4</v>
      </c>
      <c r="K457" s="81"/>
      <c r="L457" s="81">
        <f t="shared" si="445"/>
        <v>3130945.0858732383</v>
      </c>
      <c r="M457" s="83">
        <f t="shared" si="440"/>
        <v>3131052.0598303387</v>
      </c>
      <c r="N457" s="84"/>
      <c r="O457" s="72">
        <v>359</v>
      </c>
      <c r="P457" s="47" t="str">
        <f>IF(S456&gt;0.005,"November","")</f>
        <v/>
      </c>
      <c r="Q457" s="80">
        <f t="shared" si="454"/>
        <v>0</v>
      </c>
      <c r="R457" s="80">
        <f t="shared" si="446"/>
        <v>0</v>
      </c>
      <c r="S457" s="80">
        <f t="shared" si="447"/>
        <v>0</v>
      </c>
      <c r="T457" s="47"/>
      <c r="U457" s="84"/>
      <c r="V457" s="72">
        <v>359</v>
      </c>
      <c r="W457" s="47" t="e">
        <f>IF(Z456&gt;0.005,"November","")</f>
        <v>#NAME?</v>
      </c>
      <c r="X457" s="80" t="e">
        <f t="shared" si="448"/>
        <v>#NAME?</v>
      </c>
      <c r="Y457" s="80"/>
      <c r="Z457" s="80" t="e">
        <f t="shared" si="449"/>
        <v>#NAME?</v>
      </c>
      <c r="AA457" s="47"/>
      <c r="AB457" s="84"/>
      <c r="AC457" s="83"/>
      <c r="AD457" s="47" t="str">
        <f>IF(AG456&gt;0.005,"November","")</f>
        <v/>
      </c>
      <c r="AE457" s="80">
        <f t="shared" si="450"/>
        <v>0</v>
      </c>
      <c r="AF457" s="80">
        <f t="shared" si="451"/>
        <v>0</v>
      </c>
      <c r="AG457" s="80">
        <f t="shared" si="452"/>
        <v>0</v>
      </c>
      <c r="AH457" s="47"/>
    </row>
    <row r="458" spans="2:34" x14ac:dyDescent="0.25">
      <c r="B458" s="72">
        <v>360</v>
      </c>
      <c r="C458" s="47" t="str">
        <f>IF(F457&gt;0.005,"December","")</f>
        <v>December</v>
      </c>
      <c r="D458" s="80">
        <f>IF(F457&gt;0,ROUND(F457*($F$6/12),2),0)</f>
        <v>144.13999999999999</v>
      </c>
      <c r="E458" s="80">
        <f t="shared" si="441"/>
        <v>24498.976926226871</v>
      </c>
      <c r="F458" s="80">
        <f t="shared" si="442"/>
        <v>17689.653484557359</v>
      </c>
      <c r="G458" s="47"/>
      <c r="I458" s="81">
        <f t="shared" si="443"/>
        <v>106.97395710066898</v>
      </c>
      <c r="J458" s="82">
        <f t="shared" si="444"/>
        <v>4.0999999999999999E-4</v>
      </c>
      <c r="K458" s="81"/>
      <c r="L458" s="81">
        <f t="shared" si="445"/>
        <v>3130945.0858732383</v>
      </c>
      <c r="M458" s="83"/>
      <c r="N458" s="84"/>
      <c r="O458" s="72">
        <v>360</v>
      </c>
      <c r="P458" s="47" t="str">
        <f>IF(S457&gt;0.005,"December","")</f>
        <v/>
      </c>
      <c r="Q458" s="80">
        <f t="shared" si="454"/>
        <v>0</v>
      </c>
      <c r="R458" s="80">
        <f t="shared" si="446"/>
        <v>0</v>
      </c>
      <c r="S458" s="80">
        <f t="shared" si="447"/>
        <v>0</v>
      </c>
      <c r="T458" s="47"/>
      <c r="U458" s="84"/>
      <c r="V458" s="72">
        <v>360</v>
      </c>
      <c r="W458" s="47" t="e">
        <f>IF(Z457&gt;0.005,"December","")</f>
        <v>#NAME?</v>
      </c>
      <c r="X458" s="80" t="e">
        <f t="shared" si="448"/>
        <v>#NAME?</v>
      </c>
      <c r="Y458" s="80"/>
      <c r="Z458" s="80" t="e">
        <f t="shared" si="449"/>
        <v>#NAME?</v>
      </c>
      <c r="AA458" s="47"/>
      <c r="AB458" s="84"/>
      <c r="AC458" s="83"/>
      <c r="AD458" s="47" t="str">
        <f>IF(AG457&gt;0.005,"December","")</f>
        <v/>
      </c>
      <c r="AE458" s="80">
        <f t="shared" si="450"/>
        <v>0</v>
      </c>
      <c r="AF458" s="80">
        <f t="shared" si="451"/>
        <v>0</v>
      </c>
      <c r="AG458" s="80">
        <f t="shared" si="452"/>
        <v>0</v>
      </c>
      <c r="AH458" s="47"/>
    </row>
    <row r="459" spans="2:34" x14ac:dyDescent="0.25">
      <c r="B459" s="72"/>
      <c r="C459" s="85" t="str">
        <f>"Total "&amp;YEAR($C$9)+29</f>
        <v>Total 2048</v>
      </c>
      <c r="D459" s="86">
        <f>SUM(D447:D458)</f>
        <v>7173.4100000000008</v>
      </c>
      <c r="E459" s="86">
        <f>SUM(E447:E458)</f>
        <v>288543.99311472243</v>
      </c>
      <c r="F459" s="87"/>
      <c r="G459" s="47"/>
      <c r="I459" s="86">
        <f>SUM(I447:I458)</f>
        <v>1283.6874852080275</v>
      </c>
      <c r="J459" s="46"/>
      <c r="K459" s="86">
        <f>SUM(K447:K458)</f>
        <v>0</v>
      </c>
      <c r="L459" s="46"/>
      <c r="M459" s="46"/>
      <c r="O459" s="72"/>
      <c r="P459" s="85" t="str">
        <f>"Total "&amp;YEAR($C$9)+29</f>
        <v>Total 2048</v>
      </c>
      <c r="Q459" s="86">
        <f>SUM(Q447:Q458)</f>
        <v>0</v>
      </c>
      <c r="R459" s="86">
        <f>SUM(R447:R458)</f>
        <v>0</v>
      </c>
      <c r="S459" s="87"/>
      <c r="T459" s="47"/>
      <c r="V459" s="72"/>
      <c r="W459" s="85" t="str">
        <f>"Total "&amp;YEAR($C$9)+29</f>
        <v>Total 2048</v>
      </c>
      <c r="X459" s="86" t="e">
        <f>SUM(X447:X458)</f>
        <v>#NAME?</v>
      </c>
      <c r="Y459" s="86">
        <f>SUM(Y447:Y458)</f>
        <v>0</v>
      </c>
      <c r="Z459" s="87"/>
      <c r="AA459" s="47"/>
      <c r="AC459" s="46"/>
      <c r="AD459" s="85" t="str">
        <f>"Total "&amp;YEAR($C$9)+29</f>
        <v>Total 2048</v>
      </c>
      <c r="AE459" s="86">
        <f>SUM(AE447:AE458)</f>
        <v>0</v>
      </c>
      <c r="AF459" s="86">
        <f>SUM(AF447:AF458)</f>
        <v>0</v>
      </c>
      <c r="AG459" s="87"/>
      <c r="AH459" s="47"/>
    </row>
    <row r="460" spans="2:34" x14ac:dyDescent="0.25">
      <c r="B460" s="72"/>
      <c r="C460" s="47"/>
      <c r="D460" s="80"/>
      <c r="E460" s="80"/>
      <c r="F460" s="80"/>
      <c r="G460" s="47"/>
      <c r="I460" s="46"/>
      <c r="J460" s="46"/>
      <c r="K460" s="46"/>
      <c r="L460" s="46"/>
      <c r="M460" s="46"/>
      <c r="O460" s="72"/>
      <c r="P460" s="47"/>
      <c r="Q460" s="80"/>
      <c r="R460" s="80"/>
      <c r="S460" s="80"/>
      <c r="T460" s="47"/>
      <c r="V460" s="72"/>
      <c r="W460" s="47"/>
      <c r="X460" s="80"/>
      <c r="Y460" s="80"/>
      <c r="Z460" s="80"/>
      <c r="AA460" s="47"/>
      <c r="AC460" s="46"/>
      <c r="AD460" s="47"/>
      <c r="AE460" s="80"/>
      <c r="AF460" s="80"/>
      <c r="AG460" s="80"/>
      <c r="AH460" s="47"/>
    </row>
    <row r="461" spans="2:34" x14ac:dyDescent="0.25">
      <c r="B461" s="72"/>
      <c r="C461" s="47"/>
      <c r="D461" s="75" t="s">
        <v>62</v>
      </c>
      <c r="E461" s="75" t="s">
        <v>63</v>
      </c>
      <c r="F461" s="75" t="s">
        <v>64</v>
      </c>
      <c r="G461" s="47"/>
      <c r="I461" s="46"/>
      <c r="J461" s="82"/>
      <c r="K461" s="46"/>
      <c r="L461" s="46"/>
      <c r="M461" s="46"/>
      <c r="O461" s="72"/>
      <c r="P461" s="47"/>
      <c r="Q461" s="75" t="s">
        <v>62</v>
      </c>
      <c r="R461" s="75" t="s">
        <v>63</v>
      </c>
      <c r="S461" s="75" t="s">
        <v>64</v>
      </c>
      <c r="T461" s="47"/>
      <c r="V461" s="72"/>
      <c r="W461" s="47"/>
      <c r="X461" s="75" t="s">
        <v>62</v>
      </c>
      <c r="Y461" s="75" t="s">
        <v>63</v>
      </c>
      <c r="Z461" s="75" t="s">
        <v>64</v>
      </c>
      <c r="AA461" s="47"/>
      <c r="AC461" s="46"/>
      <c r="AD461" s="47"/>
      <c r="AE461" s="75" t="s">
        <v>62</v>
      </c>
      <c r="AF461" s="75" t="s">
        <v>63</v>
      </c>
      <c r="AG461" s="75" t="s">
        <v>64</v>
      </c>
      <c r="AH461" s="47"/>
    </row>
    <row r="462" spans="2:34" x14ac:dyDescent="0.25">
      <c r="B462" s="72">
        <v>361</v>
      </c>
      <c r="C462" s="47" t="str">
        <f>IF(F458&gt;0.005,"January","")</f>
        <v>January</v>
      </c>
      <c r="D462" s="80">
        <f>IF(F458&gt;0,ROUND(F458*($F$6/12),2),0)</f>
        <v>60.44</v>
      </c>
      <c r="E462" s="80">
        <f>IF(F458&lt;$D$8,F458,$D$8-D462)</f>
        <v>17689.653484557359</v>
      </c>
      <c r="F462" s="80">
        <f>IF(F458-E462&gt;0,F458-E462,0)</f>
        <v>0</v>
      </c>
      <c r="G462" s="47"/>
      <c r="I462" s="46"/>
      <c r="J462" s="82">
        <f>$F$6/100</f>
        <v>4.0999999999999999E-4</v>
      </c>
      <c r="K462" s="46"/>
      <c r="L462" s="46"/>
      <c r="M462" s="46"/>
      <c r="O462" s="72">
        <v>361</v>
      </c>
      <c r="P462" s="47" t="str">
        <f>IF(S458&gt;0.005,"January","")</f>
        <v/>
      </c>
      <c r="Q462" s="80">
        <f>IF(O462&lt;$S$7,"",IF(O462=$S$7,$Q$6*($S$6/12),S458*($S$6/12)))</f>
        <v>0</v>
      </c>
      <c r="R462" s="80">
        <f>IF(O462&lt;$S$7,"",$Q$8-Q462)</f>
        <v>0</v>
      </c>
      <c r="S462" s="80">
        <f>IF(O462&lt;$S$7,"",IF(O462=$S$7,$Q$6-R462,S458-R462))</f>
        <v>0</v>
      </c>
      <c r="T462" s="47"/>
      <c r="V462" s="72">
        <v>361</v>
      </c>
      <c r="W462" s="47" t="e">
        <f>IF(Z458&gt;0.005,"January","")</f>
        <v>#NAME?</v>
      </c>
      <c r="X462" s="80" t="e">
        <f>IF(V462&lt;$Z$7,"",($Z$6/12)*$X$6)</f>
        <v>#NAME?</v>
      </c>
      <c r="Y462" s="80"/>
      <c r="Z462" s="80" t="e">
        <f>IF(V462&lt;$S$7,"",$X$6)</f>
        <v>#NAME?</v>
      </c>
      <c r="AA462" s="47"/>
      <c r="AC462" s="46"/>
      <c r="AD462" s="47" t="str">
        <f>IF(AG458&gt;0.005,"January","")</f>
        <v/>
      </c>
      <c r="AE462" s="80">
        <f>IF(AG458&gt;0,ROUND(AG458*($AG$6/1200),2),0)</f>
        <v>0</v>
      </c>
      <c r="AF462" s="80">
        <f>IF(AG458&lt;$AE$8,AG458,$AE$8-AE462)</f>
        <v>0</v>
      </c>
      <c r="AG462" s="80">
        <f>IF(AG458-AF462&gt;0,AG458-AF462,0)</f>
        <v>0</v>
      </c>
      <c r="AH462" s="47"/>
    </row>
    <row r="463" spans="2:34" x14ac:dyDescent="0.25">
      <c r="B463" s="72">
        <v>362</v>
      </c>
      <c r="C463" s="47" t="str">
        <f>IF(F462&gt;0.005,"February","")</f>
        <v/>
      </c>
      <c r="D463" s="80">
        <f>IF(F462&gt;0,ROUND(F462*($F$6/12),2),0)</f>
        <v>0</v>
      </c>
      <c r="E463" s="80">
        <f t="shared" ref="E463:E473" si="455">IF(F462&lt;$D$8,F462,$D$8-D463)</f>
        <v>0</v>
      </c>
      <c r="F463" s="80">
        <f t="shared" ref="F463:F473" si="456">IF(F462-E463&gt;0,F462-E463,0)</f>
        <v>0</v>
      </c>
      <c r="G463" s="47"/>
      <c r="I463" s="46"/>
      <c r="J463" s="82">
        <f t="shared" ref="J463:J473" si="457">$F$6/100</f>
        <v>4.0999999999999999E-4</v>
      </c>
      <c r="K463" s="46"/>
      <c r="L463" s="46"/>
      <c r="M463" s="46"/>
      <c r="O463" s="72">
        <v>362</v>
      </c>
      <c r="P463" s="47" t="str">
        <f>IF(S462&gt;0.005,"February","")</f>
        <v/>
      </c>
      <c r="Q463" s="80">
        <f>IF(O463&lt;$S$7,"",IF(O463=$S$7,$Q$6*($S$6/12),S462*($S$6/12)))</f>
        <v>0</v>
      </c>
      <c r="R463" s="80">
        <f t="shared" ref="R463:R473" si="458">IF(O463&lt;$S$7,"",$Q$8-Q463)</f>
        <v>0</v>
      </c>
      <c r="S463" s="80">
        <f t="shared" ref="S463:S473" si="459">IF(O463&lt;$S$7,"",IF(O463=$S$7,$Q$6-R463,S462-R463))</f>
        <v>0</v>
      </c>
      <c r="T463" s="47"/>
      <c r="V463" s="72">
        <v>362</v>
      </c>
      <c r="W463" s="47" t="e">
        <f>IF(Z462&gt;0.005,"February","")</f>
        <v>#NAME?</v>
      </c>
      <c r="X463" s="80" t="e">
        <f t="shared" ref="X463:X473" si="460">IF(V463&lt;$Z$7,"",($Z$6/12)*$X$6)</f>
        <v>#NAME?</v>
      </c>
      <c r="Y463" s="80"/>
      <c r="Z463" s="80" t="e">
        <f t="shared" ref="Z463:Z473" si="461">IF(V463&lt;$S$7,"",$X$6)</f>
        <v>#NAME?</v>
      </c>
      <c r="AA463" s="47"/>
      <c r="AC463" s="46"/>
      <c r="AD463" s="47" t="str">
        <f>IF(AG462&gt;0.005,"February","")</f>
        <v/>
      </c>
      <c r="AE463" s="80">
        <f t="shared" ref="AE463:AE473" si="462">IF(AG462&gt;0,ROUND(AG462*($AG$6/1200),2),0)</f>
        <v>0</v>
      </c>
      <c r="AF463" s="80">
        <f t="shared" ref="AF463:AF473" si="463">IF(AG462&lt;$AE$8,AG462,$AE$8-AE463)</f>
        <v>0</v>
      </c>
      <c r="AG463" s="80">
        <f t="shared" ref="AG463:AG473" si="464">IF(AG462-AF463&gt;0,AG462-AF463,0)</f>
        <v>0</v>
      </c>
      <c r="AH463" s="47"/>
    </row>
    <row r="464" spans="2:34" x14ac:dyDescent="0.25">
      <c r="B464" s="72">
        <v>363</v>
      </c>
      <c r="C464" s="47" t="str">
        <f>IF(F463&gt;0.005,"March","")</f>
        <v/>
      </c>
      <c r="D464" s="80">
        <f t="shared" ref="D464:D472" si="465">IF(F463&gt;0,ROUND(F463*($F$6/12),2),0)</f>
        <v>0</v>
      </c>
      <c r="E464" s="80">
        <f t="shared" si="455"/>
        <v>0</v>
      </c>
      <c r="F464" s="80">
        <f t="shared" si="456"/>
        <v>0</v>
      </c>
      <c r="G464" s="47"/>
      <c r="I464" s="46"/>
      <c r="J464" s="82">
        <f t="shared" si="457"/>
        <v>4.0999999999999999E-4</v>
      </c>
      <c r="K464" s="46"/>
      <c r="L464" s="46"/>
      <c r="M464" s="46"/>
      <c r="O464" s="72">
        <v>363</v>
      </c>
      <c r="P464" s="47" t="str">
        <f>IF(S463&gt;0.005,"March","")</f>
        <v/>
      </c>
      <c r="Q464" s="80">
        <f t="shared" ref="Q464:Q473" si="466">IF(O464&lt;$S$7,"",IF(O464=$S$7,$Q$6*($S$6/12),S463*($S$6/12)))</f>
        <v>0</v>
      </c>
      <c r="R464" s="80">
        <f t="shared" si="458"/>
        <v>0</v>
      </c>
      <c r="S464" s="80">
        <f t="shared" si="459"/>
        <v>0</v>
      </c>
      <c r="T464" s="47"/>
      <c r="V464" s="72">
        <v>363</v>
      </c>
      <c r="W464" s="47" t="e">
        <f>IF(Z463&gt;0.005,"March","")</f>
        <v>#NAME?</v>
      </c>
      <c r="X464" s="80" t="e">
        <f t="shared" si="460"/>
        <v>#NAME?</v>
      </c>
      <c r="Y464" s="80"/>
      <c r="Z464" s="80" t="e">
        <f t="shared" si="461"/>
        <v>#NAME?</v>
      </c>
      <c r="AA464" s="47"/>
      <c r="AC464" s="46"/>
      <c r="AD464" s="47" t="str">
        <f>IF(AG463&gt;0.005,"March","")</f>
        <v/>
      </c>
      <c r="AE464" s="80">
        <f t="shared" si="462"/>
        <v>0</v>
      </c>
      <c r="AF464" s="80">
        <f t="shared" si="463"/>
        <v>0</v>
      </c>
      <c r="AG464" s="80">
        <f t="shared" si="464"/>
        <v>0</v>
      </c>
      <c r="AH464" s="47"/>
    </row>
    <row r="465" spans="2:34" x14ac:dyDescent="0.25">
      <c r="B465" s="72">
        <v>364</v>
      </c>
      <c r="C465" s="47" t="str">
        <f>IF(F464&gt;0.005,"April","")</f>
        <v/>
      </c>
      <c r="D465" s="80">
        <f t="shared" si="465"/>
        <v>0</v>
      </c>
      <c r="E465" s="80">
        <f t="shared" si="455"/>
        <v>0</v>
      </c>
      <c r="F465" s="80">
        <f t="shared" si="456"/>
        <v>0</v>
      </c>
      <c r="G465" s="47"/>
      <c r="I465" s="46"/>
      <c r="J465" s="82">
        <f t="shared" si="457"/>
        <v>4.0999999999999999E-4</v>
      </c>
      <c r="K465" s="46"/>
      <c r="L465" s="46"/>
      <c r="M465" s="46"/>
      <c r="O465" s="72">
        <v>364</v>
      </c>
      <c r="P465" s="47" t="str">
        <f>IF(S464&gt;0.005,"April","")</f>
        <v/>
      </c>
      <c r="Q465" s="80">
        <f t="shared" si="466"/>
        <v>0</v>
      </c>
      <c r="R465" s="80">
        <f t="shared" si="458"/>
        <v>0</v>
      </c>
      <c r="S465" s="80">
        <f t="shared" si="459"/>
        <v>0</v>
      </c>
      <c r="T465" s="47"/>
      <c r="V465" s="72">
        <v>364</v>
      </c>
      <c r="W465" s="47" t="e">
        <f>IF(Z464&gt;0.005,"April","")</f>
        <v>#NAME?</v>
      </c>
      <c r="X465" s="80" t="e">
        <f t="shared" si="460"/>
        <v>#NAME?</v>
      </c>
      <c r="Y465" s="80"/>
      <c r="Z465" s="80" t="e">
        <f t="shared" si="461"/>
        <v>#NAME?</v>
      </c>
      <c r="AA465" s="47"/>
      <c r="AC465" s="46"/>
      <c r="AD465" s="47" t="str">
        <f>IF(AG464&gt;0.005,"April","")</f>
        <v/>
      </c>
      <c r="AE465" s="80">
        <f t="shared" si="462"/>
        <v>0</v>
      </c>
      <c r="AF465" s="80">
        <f t="shared" si="463"/>
        <v>0</v>
      </c>
      <c r="AG465" s="80">
        <f t="shared" si="464"/>
        <v>0</v>
      </c>
      <c r="AH465" s="47"/>
    </row>
    <row r="466" spans="2:34" x14ac:dyDescent="0.25">
      <c r="B466" s="72">
        <v>365</v>
      </c>
      <c r="C466" s="47" t="str">
        <f>IF(F465&gt;0.005,"May","")</f>
        <v/>
      </c>
      <c r="D466" s="80">
        <f t="shared" si="465"/>
        <v>0</v>
      </c>
      <c r="E466" s="80">
        <f t="shared" si="455"/>
        <v>0</v>
      </c>
      <c r="F466" s="80">
        <f t="shared" si="456"/>
        <v>0</v>
      </c>
      <c r="G466" s="47"/>
      <c r="I466" s="46"/>
      <c r="J466" s="82">
        <f t="shared" si="457"/>
        <v>4.0999999999999999E-4</v>
      </c>
      <c r="K466" s="46"/>
      <c r="L466" s="46"/>
      <c r="M466" s="46"/>
      <c r="O466" s="72">
        <v>365</v>
      </c>
      <c r="P466" s="47" t="str">
        <f>IF(S465&gt;0.005,"May","")</f>
        <v/>
      </c>
      <c r="Q466" s="80">
        <f t="shared" si="466"/>
        <v>0</v>
      </c>
      <c r="R466" s="80">
        <f t="shared" si="458"/>
        <v>0</v>
      </c>
      <c r="S466" s="80">
        <f t="shared" si="459"/>
        <v>0</v>
      </c>
      <c r="T466" s="47"/>
      <c r="V466" s="72">
        <v>365</v>
      </c>
      <c r="W466" s="47" t="e">
        <f>IF(Z465&gt;0.005,"May","")</f>
        <v>#NAME?</v>
      </c>
      <c r="X466" s="80" t="e">
        <f t="shared" si="460"/>
        <v>#NAME?</v>
      </c>
      <c r="Y466" s="80"/>
      <c r="Z466" s="80" t="e">
        <f t="shared" si="461"/>
        <v>#NAME?</v>
      </c>
      <c r="AA466" s="47"/>
      <c r="AC466" s="46"/>
      <c r="AD466" s="47" t="str">
        <f>IF(AG465&gt;0.005,"May","")</f>
        <v/>
      </c>
      <c r="AE466" s="80">
        <f t="shared" si="462"/>
        <v>0</v>
      </c>
      <c r="AF466" s="80">
        <f t="shared" si="463"/>
        <v>0</v>
      </c>
      <c r="AG466" s="80">
        <f t="shared" si="464"/>
        <v>0</v>
      </c>
      <c r="AH466" s="47"/>
    </row>
    <row r="467" spans="2:34" x14ac:dyDescent="0.25">
      <c r="B467" s="72">
        <v>366</v>
      </c>
      <c r="C467" s="47" t="str">
        <f>IF(F466&gt;0.005,"June","")</f>
        <v/>
      </c>
      <c r="D467" s="80">
        <f t="shared" si="465"/>
        <v>0</v>
      </c>
      <c r="E467" s="80">
        <f t="shared" si="455"/>
        <v>0</v>
      </c>
      <c r="F467" s="80">
        <f t="shared" si="456"/>
        <v>0</v>
      </c>
      <c r="G467" s="47"/>
      <c r="I467" s="46"/>
      <c r="J467" s="82">
        <f t="shared" si="457"/>
        <v>4.0999999999999999E-4</v>
      </c>
      <c r="K467" s="46"/>
      <c r="L467" s="46"/>
      <c r="M467" s="46"/>
      <c r="O467" s="72">
        <v>366</v>
      </c>
      <c r="P467" s="47" t="str">
        <f>IF(S466&gt;0.005,"June","")</f>
        <v/>
      </c>
      <c r="Q467" s="80">
        <f t="shared" si="466"/>
        <v>0</v>
      </c>
      <c r="R467" s="80">
        <f t="shared" si="458"/>
        <v>0</v>
      </c>
      <c r="S467" s="80">
        <f t="shared" si="459"/>
        <v>0</v>
      </c>
      <c r="T467" s="47"/>
      <c r="V467" s="72">
        <v>366</v>
      </c>
      <c r="W467" s="47" t="e">
        <f>IF(Z466&gt;0.005,"June","")</f>
        <v>#NAME?</v>
      </c>
      <c r="X467" s="80" t="e">
        <f t="shared" si="460"/>
        <v>#NAME?</v>
      </c>
      <c r="Y467" s="80"/>
      <c r="Z467" s="80" t="e">
        <f t="shared" si="461"/>
        <v>#NAME?</v>
      </c>
      <c r="AA467" s="47"/>
      <c r="AC467" s="46"/>
      <c r="AD467" s="47" t="str">
        <f>IF(AG466&gt;0.005,"June","")</f>
        <v/>
      </c>
      <c r="AE467" s="80">
        <f t="shared" si="462"/>
        <v>0</v>
      </c>
      <c r="AF467" s="80">
        <f t="shared" si="463"/>
        <v>0</v>
      </c>
      <c r="AG467" s="80">
        <f t="shared" si="464"/>
        <v>0</v>
      </c>
      <c r="AH467" s="47"/>
    </row>
    <row r="468" spans="2:34" x14ac:dyDescent="0.25">
      <c r="B468" s="72">
        <v>367</v>
      </c>
      <c r="C468" s="47" t="str">
        <f>IF(F467&gt;0.005,"July","")</f>
        <v/>
      </c>
      <c r="D468" s="80">
        <f t="shared" si="465"/>
        <v>0</v>
      </c>
      <c r="E468" s="80">
        <f t="shared" si="455"/>
        <v>0</v>
      </c>
      <c r="F468" s="80">
        <f t="shared" si="456"/>
        <v>0</v>
      </c>
      <c r="G468" s="47"/>
      <c r="I468" s="46"/>
      <c r="J468" s="82">
        <f t="shared" si="457"/>
        <v>4.0999999999999999E-4</v>
      </c>
      <c r="K468" s="46"/>
      <c r="L468" s="46"/>
      <c r="M468" s="46"/>
      <c r="O468" s="72">
        <v>367</v>
      </c>
      <c r="P468" s="47" t="str">
        <f>IF(S467&gt;0.005,"July","")</f>
        <v/>
      </c>
      <c r="Q468" s="80">
        <f t="shared" si="466"/>
        <v>0</v>
      </c>
      <c r="R468" s="80">
        <f t="shared" si="458"/>
        <v>0</v>
      </c>
      <c r="S468" s="80">
        <f t="shared" si="459"/>
        <v>0</v>
      </c>
      <c r="T468" s="47"/>
      <c r="V468" s="72">
        <v>367</v>
      </c>
      <c r="W468" s="47" t="e">
        <f>IF(Z467&gt;0.005,"July","")</f>
        <v>#NAME?</v>
      </c>
      <c r="X468" s="80" t="e">
        <f t="shared" si="460"/>
        <v>#NAME?</v>
      </c>
      <c r="Y468" s="80"/>
      <c r="Z468" s="80" t="e">
        <f t="shared" si="461"/>
        <v>#NAME?</v>
      </c>
      <c r="AA468" s="47"/>
      <c r="AC468" s="46"/>
      <c r="AD468" s="47" t="str">
        <f>IF(AG467&gt;0.005,"July","")</f>
        <v/>
      </c>
      <c r="AE468" s="80">
        <f t="shared" si="462"/>
        <v>0</v>
      </c>
      <c r="AF468" s="80">
        <f t="shared" si="463"/>
        <v>0</v>
      </c>
      <c r="AG468" s="80">
        <f t="shared" si="464"/>
        <v>0</v>
      </c>
      <c r="AH468" s="47"/>
    </row>
    <row r="469" spans="2:34" x14ac:dyDescent="0.25">
      <c r="B469" s="72">
        <v>368</v>
      </c>
      <c r="C469" s="47" t="str">
        <f>IF(F468&gt;0.005,"August","")</f>
        <v/>
      </c>
      <c r="D469" s="80">
        <f t="shared" si="465"/>
        <v>0</v>
      </c>
      <c r="E469" s="80">
        <f t="shared" si="455"/>
        <v>0</v>
      </c>
      <c r="F469" s="80">
        <f t="shared" si="456"/>
        <v>0</v>
      </c>
      <c r="G469" s="47"/>
      <c r="I469" s="46"/>
      <c r="J469" s="82">
        <f t="shared" si="457"/>
        <v>4.0999999999999999E-4</v>
      </c>
      <c r="K469" s="46"/>
      <c r="L469" s="46"/>
      <c r="M469" s="46"/>
      <c r="O469" s="72">
        <v>368</v>
      </c>
      <c r="P469" s="47" t="str">
        <f>IF(S468&gt;0.005,"August","")</f>
        <v/>
      </c>
      <c r="Q469" s="80">
        <f t="shared" si="466"/>
        <v>0</v>
      </c>
      <c r="R469" s="80">
        <f t="shared" si="458"/>
        <v>0</v>
      </c>
      <c r="S469" s="80">
        <f t="shared" si="459"/>
        <v>0</v>
      </c>
      <c r="T469" s="47"/>
      <c r="V469" s="72">
        <v>368</v>
      </c>
      <c r="W469" s="47" t="e">
        <f>IF(Z468&gt;0.005,"August","")</f>
        <v>#NAME?</v>
      </c>
      <c r="X469" s="80" t="e">
        <f t="shared" si="460"/>
        <v>#NAME?</v>
      </c>
      <c r="Y469" s="80"/>
      <c r="Z469" s="80" t="e">
        <f t="shared" si="461"/>
        <v>#NAME?</v>
      </c>
      <c r="AA469" s="47"/>
      <c r="AC469" s="46"/>
      <c r="AD469" s="47" t="str">
        <f>IF(AG468&gt;0.005,"August","")</f>
        <v/>
      </c>
      <c r="AE469" s="80">
        <f t="shared" si="462"/>
        <v>0</v>
      </c>
      <c r="AF469" s="80">
        <f t="shared" si="463"/>
        <v>0</v>
      </c>
      <c r="AG469" s="80">
        <f t="shared" si="464"/>
        <v>0</v>
      </c>
      <c r="AH469" s="47"/>
    </row>
    <row r="470" spans="2:34" x14ac:dyDescent="0.25">
      <c r="B470" s="72">
        <v>369</v>
      </c>
      <c r="C470" s="47" t="str">
        <f>IF(F469&gt;0.005,"September","")</f>
        <v/>
      </c>
      <c r="D470" s="80">
        <f t="shared" si="465"/>
        <v>0</v>
      </c>
      <c r="E470" s="80">
        <f t="shared" si="455"/>
        <v>0</v>
      </c>
      <c r="F470" s="80">
        <f t="shared" si="456"/>
        <v>0</v>
      </c>
      <c r="G470" s="47"/>
      <c r="I470" s="46"/>
      <c r="J470" s="82">
        <f t="shared" si="457"/>
        <v>4.0999999999999999E-4</v>
      </c>
      <c r="K470" s="46"/>
      <c r="L470" s="46"/>
      <c r="M470" s="46"/>
      <c r="O470" s="72">
        <v>369</v>
      </c>
      <c r="P470" s="47" t="str">
        <f>IF(S469&gt;0.005,"September","")</f>
        <v/>
      </c>
      <c r="Q470" s="80">
        <f t="shared" si="466"/>
        <v>0</v>
      </c>
      <c r="R470" s="80">
        <f t="shared" si="458"/>
        <v>0</v>
      </c>
      <c r="S470" s="80">
        <f t="shared" si="459"/>
        <v>0</v>
      </c>
      <c r="T470" s="47"/>
      <c r="V470" s="72">
        <v>369</v>
      </c>
      <c r="W470" s="47" t="e">
        <f>IF(Z469&gt;0.005,"September","")</f>
        <v>#NAME?</v>
      </c>
      <c r="X470" s="80" t="e">
        <f t="shared" si="460"/>
        <v>#NAME?</v>
      </c>
      <c r="Y470" s="80"/>
      <c r="Z470" s="80" t="e">
        <f t="shared" si="461"/>
        <v>#NAME?</v>
      </c>
      <c r="AA470" s="47"/>
      <c r="AC470" s="46"/>
      <c r="AD470" s="47" t="str">
        <f>IF(AG469&gt;0.005,"September","")</f>
        <v/>
      </c>
      <c r="AE470" s="80">
        <f t="shared" si="462"/>
        <v>0</v>
      </c>
      <c r="AF470" s="80">
        <f t="shared" si="463"/>
        <v>0</v>
      </c>
      <c r="AG470" s="80">
        <f t="shared" si="464"/>
        <v>0</v>
      </c>
      <c r="AH470" s="47"/>
    </row>
    <row r="471" spans="2:34" x14ac:dyDescent="0.25">
      <c r="B471" s="72">
        <v>370</v>
      </c>
      <c r="C471" s="47" t="str">
        <f>IF(F470&gt;0.005,"October","")</f>
        <v/>
      </c>
      <c r="D471" s="80">
        <f t="shared" si="465"/>
        <v>0</v>
      </c>
      <c r="E471" s="80">
        <f t="shared" si="455"/>
        <v>0</v>
      </c>
      <c r="F471" s="80">
        <f t="shared" si="456"/>
        <v>0</v>
      </c>
      <c r="G471" s="47"/>
      <c r="I471" s="46"/>
      <c r="J471" s="82">
        <f t="shared" si="457"/>
        <v>4.0999999999999999E-4</v>
      </c>
      <c r="K471" s="46"/>
      <c r="L471" s="46"/>
      <c r="M471" s="46"/>
      <c r="O471" s="72">
        <v>370</v>
      </c>
      <c r="P471" s="47" t="str">
        <f>IF(S470&gt;0.005,"October","")</f>
        <v/>
      </c>
      <c r="Q471" s="80">
        <f t="shared" si="466"/>
        <v>0</v>
      </c>
      <c r="R471" s="80">
        <f t="shared" si="458"/>
        <v>0</v>
      </c>
      <c r="S471" s="80">
        <f t="shared" si="459"/>
        <v>0</v>
      </c>
      <c r="T471" s="47"/>
      <c r="V471" s="72">
        <v>370</v>
      </c>
      <c r="W471" s="47" t="e">
        <f>IF(Z470&gt;0.005,"October","")</f>
        <v>#NAME?</v>
      </c>
      <c r="X471" s="80" t="e">
        <f t="shared" si="460"/>
        <v>#NAME?</v>
      </c>
      <c r="Y471" s="80"/>
      <c r="Z471" s="80" t="e">
        <f t="shared" si="461"/>
        <v>#NAME?</v>
      </c>
      <c r="AA471" s="47"/>
      <c r="AC471" s="46"/>
      <c r="AD471" s="47" t="str">
        <f>IF(AG470&gt;0.005,"October","")</f>
        <v/>
      </c>
      <c r="AE471" s="80">
        <f t="shared" si="462"/>
        <v>0</v>
      </c>
      <c r="AF471" s="80">
        <f t="shared" si="463"/>
        <v>0</v>
      </c>
      <c r="AG471" s="80">
        <f t="shared" si="464"/>
        <v>0</v>
      </c>
      <c r="AH471" s="47"/>
    </row>
    <row r="472" spans="2:34" x14ac:dyDescent="0.25">
      <c r="B472" s="72">
        <v>371</v>
      </c>
      <c r="C472" s="47" t="str">
        <f>IF(F471&gt;0.005,"November","")</f>
        <v/>
      </c>
      <c r="D472" s="80">
        <f t="shared" si="465"/>
        <v>0</v>
      </c>
      <c r="E472" s="80">
        <f t="shared" si="455"/>
        <v>0</v>
      </c>
      <c r="F472" s="80">
        <f t="shared" si="456"/>
        <v>0</v>
      </c>
      <c r="G472" s="47"/>
      <c r="I472" s="46"/>
      <c r="J472" s="82">
        <f t="shared" si="457"/>
        <v>4.0999999999999999E-4</v>
      </c>
      <c r="K472" s="46"/>
      <c r="L472" s="46"/>
      <c r="M472" s="46"/>
      <c r="O472" s="72">
        <v>371</v>
      </c>
      <c r="P472" s="47" t="str">
        <f>IF(S471&gt;0.005,"November","")</f>
        <v/>
      </c>
      <c r="Q472" s="80">
        <f t="shared" si="466"/>
        <v>0</v>
      </c>
      <c r="R472" s="80">
        <f t="shared" si="458"/>
        <v>0</v>
      </c>
      <c r="S472" s="80">
        <f t="shared" si="459"/>
        <v>0</v>
      </c>
      <c r="T472" s="47"/>
      <c r="V472" s="72">
        <v>371</v>
      </c>
      <c r="W472" s="47" t="e">
        <f>IF(Z471&gt;0.005,"November","")</f>
        <v>#NAME?</v>
      </c>
      <c r="X472" s="80" t="e">
        <f t="shared" si="460"/>
        <v>#NAME?</v>
      </c>
      <c r="Y472" s="80"/>
      <c r="Z472" s="80" t="e">
        <f t="shared" si="461"/>
        <v>#NAME?</v>
      </c>
      <c r="AA472" s="47"/>
      <c r="AC472" s="46"/>
      <c r="AD472" s="47" t="str">
        <f>IF(AG471&gt;0.005,"November","")</f>
        <v/>
      </c>
      <c r="AE472" s="80">
        <f t="shared" si="462"/>
        <v>0</v>
      </c>
      <c r="AF472" s="80">
        <f t="shared" si="463"/>
        <v>0</v>
      </c>
      <c r="AG472" s="80">
        <f t="shared" si="464"/>
        <v>0</v>
      </c>
      <c r="AH472" s="47"/>
    </row>
    <row r="473" spans="2:34" x14ac:dyDescent="0.25">
      <c r="B473" s="72">
        <v>372</v>
      </c>
      <c r="C473" s="47" t="str">
        <f>IF(F472&gt;0.005,"December","")</f>
        <v/>
      </c>
      <c r="D473" s="80">
        <f>IF(F472&gt;0,ROUND(F472*($F$6/12),2),0)</f>
        <v>0</v>
      </c>
      <c r="E473" s="80">
        <f t="shared" si="455"/>
        <v>0</v>
      </c>
      <c r="F473" s="80">
        <f t="shared" si="456"/>
        <v>0</v>
      </c>
      <c r="G473" s="47"/>
      <c r="I473" s="46"/>
      <c r="J473" s="82">
        <f t="shared" si="457"/>
        <v>4.0999999999999999E-4</v>
      </c>
      <c r="K473" s="46"/>
      <c r="L473" s="46"/>
      <c r="M473" s="46"/>
      <c r="O473" s="72">
        <v>372</v>
      </c>
      <c r="P473" s="47" t="str">
        <f>IF(S472&gt;0.005,"December","")</f>
        <v/>
      </c>
      <c r="Q473" s="80">
        <f t="shared" si="466"/>
        <v>0</v>
      </c>
      <c r="R473" s="80">
        <f t="shared" si="458"/>
        <v>0</v>
      </c>
      <c r="S473" s="80">
        <f t="shared" si="459"/>
        <v>0</v>
      </c>
      <c r="T473" s="47"/>
      <c r="V473" s="72">
        <v>372</v>
      </c>
      <c r="W473" s="47" t="e">
        <f>IF(Z472&gt;0.005,"December","")</f>
        <v>#NAME?</v>
      </c>
      <c r="X473" s="80" t="e">
        <f t="shared" si="460"/>
        <v>#NAME?</v>
      </c>
      <c r="Y473" s="80"/>
      <c r="Z473" s="80" t="e">
        <f t="shared" si="461"/>
        <v>#NAME?</v>
      </c>
      <c r="AA473" s="47"/>
      <c r="AC473" s="46"/>
      <c r="AD473" s="47" t="str">
        <f>IF(AG472&gt;0.005,"December","")</f>
        <v/>
      </c>
      <c r="AE473" s="80">
        <f t="shared" si="462"/>
        <v>0</v>
      </c>
      <c r="AF473" s="80">
        <f t="shared" si="463"/>
        <v>0</v>
      </c>
      <c r="AG473" s="80">
        <f t="shared" si="464"/>
        <v>0</v>
      </c>
      <c r="AH473" s="47"/>
    </row>
    <row r="474" spans="2:34" x14ac:dyDescent="0.25">
      <c r="B474" s="46"/>
      <c r="C474" s="85" t="str">
        <f>"Total "&amp;YEAR($C$9)+30</f>
        <v>Total 2049</v>
      </c>
      <c r="D474" s="86">
        <f>SUM(D462:D473)</f>
        <v>60.44</v>
      </c>
      <c r="E474" s="86">
        <f>SUM(E462:E473)</f>
        <v>17689.653484557359</v>
      </c>
      <c r="F474" s="87"/>
      <c r="G474" s="47"/>
      <c r="I474" s="86">
        <f>SUM(I462:I473)</f>
        <v>0</v>
      </c>
      <c r="J474" s="46"/>
      <c r="K474" s="86">
        <f>SUM(K462:K473)</f>
        <v>0</v>
      </c>
      <c r="L474" s="46"/>
      <c r="M474" s="46"/>
      <c r="O474" s="47"/>
      <c r="P474" s="85" t="str">
        <f>"Total "&amp;YEAR($C$9)+30</f>
        <v>Total 2049</v>
      </c>
      <c r="Q474" s="86">
        <f>SUM(Q462:Q473)</f>
        <v>0</v>
      </c>
      <c r="R474" s="86">
        <f>SUM(R462:R473)</f>
        <v>0</v>
      </c>
      <c r="S474" s="87"/>
      <c r="T474" s="47"/>
      <c r="V474" s="47"/>
      <c r="W474" s="85" t="str">
        <f>"Total "&amp;YEAR($C$9)+30</f>
        <v>Total 2049</v>
      </c>
      <c r="X474" s="86" t="e">
        <f>SUM(X462:X473)</f>
        <v>#NAME?</v>
      </c>
      <c r="Y474" s="86">
        <f>SUM(Y462:Y473)</f>
        <v>0</v>
      </c>
      <c r="Z474" s="87"/>
      <c r="AA474" s="47"/>
      <c r="AC474" s="46"/>
      <c r="AD474" s="85" t="str">
        <f>"Total "&amp;YEAR($C$9)+30</f>
        <v>Total 2049</v>
      </c>
      <c r="AE474" s="86">
        <f>SUM(AE462:AE473)</f>
        <v>0</v>
      </c>
      <c r="AF474" s="86">
        <f>SUM(AF462:AF473)</f>
        <v>0</v>
      </c>
      <c r="AG474" s="87"/>
      <c r="AH474" s="47"/>
    </row>
    <row r="475" spans="2:34" x14ac:dyDescent="0.25">
      <c r="C475" s="43"/>
      <c r="D475" s="89"/>
      <c r="E475" s="89"/>
      <c r="F475" s="89"/>
      <c r="G475" s="43"/>
    </row>
  </sheetData>
  <mergeCells count="14">
    <mergeCell ref="AK3:BA3"/>
    <mergeCell ref="B3:G3"/>
    <mergeCell ref="I3:M3"/>
    <mergeCell ref="O3:T3"/>
    <mergeCell ref="V3:AA3"/>
    <mergeCell ref="AC3:AH3"/>
    <mergeCell ref="AY4:AY5"/>
    <mergeCell ref="BA4:BA5"/>
    <mergeCell ref="AM4:AM5"/>
    <mergeCell ref="AO4:AO5"/>
    <mergeCell ref="AQ4:AQ5"/>
    <mergeCell ref="AS4:AS5"/>
    <mergeCell ref="AU4:AU5"/>
    <mergeCell ref="AW4:AW5"/>
  </mergeCells>
  <pageMargins left="0.7" right="0.7" top="0.75" bottom="0.75" header="0.3" footer="0.3"/>
  <pageSetup orientation="portrait"/>
  <customProperties>
    <customPr name="SSC_SHEET_GUID" r:id="rId1"/>
  </customPropertie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E4"/>
  <sheetViews>
    <sheetView workbookViewId="0"/>
  </sheetViews>
  <sheetFormatPr defaultColWidth="8.85546875" defaultRowHeight="15" x14ac:dyDescent="0.25"/>
  <sheetData>
    <row r="1" spans="3:5" x14ac:dyDescent="0.25">
      <c r="C1" t="s">
        <v>90</v>
      </c>
      <c r="D1" t="s">
        <v>89</v>
      </c>
      <c r="E1" t="s">
        <v>91</v>
      </c>
    </row>
    <row r="2" spans="3:5" x14ac:dyDescent="0.25">
      <c r="C2" t="s">
        <v>110</v>
      </c>
    </row>
    <row r="3" spans="3:5" x14ac:dyDescent="0.25">
      <c r="C3" t="s">
        <v>111</v>
      </c>
    </row>
    <row r="4" spans="3:5" x14ac:dyDescent="0.25">
      <c r="C4" t="s">
        <v>112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Analysis</vt:lpstr>
      <vt:lpstr>Capex</vt:lpstr>
      <vt:lpstr>Total Uses</vt:lpstr>
      <vt:lpstr>Amortization</vt:lpstr>
      <vt:lpstr>Analysis!Print_Area</vt:lpstr>
      <vt:lpstr>Analysis!Print_Titles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Ritzenthaler</dc:creator>
  <cp:lastModifiedBy>Robert Ritzenthaler</cp:lastModifiedBy>
  <cp:lastPrinted>2019-01-15T15:45:37Z</cp:lastPrinted>
  <dcterms:created xsi:type="dcterms:W3CDTF">2017-10-23T15:24:16Z</dcterms:created>
  <dcterms:modified xsi:type="dcterms:W3CDTF">2019-11-21T21:56:56Z</dcterms:modified>
</cp:coreProperties>
</file>